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munications\Nursing Home Workforce Standards Board\"/>
    </mc:Choice>
  </mc:AlternateContent>
  <xr:revisionPtr revIDLastSave="0" documentId="8_{60CE1921-E5D0-4915-A7B0-58641E32C917}" xr6:coauthVersionLast="47" xr6:coauthVersionMax="47" xr10:uidLastSave="{00000000-0000-0000-0000-000000000000}"/>
  <bookViews>
    <workbookView xWindow="59625" yWindow="1335" windowWidth="17280" windowHeight="10080" xr2:uid="{84C68DB9-FD96-4785-9410-E08C62E77E7C}"/>
  </bookViews>
  <sheets>
    <sheet name="Summary" sheetId="1" r:id="rId1"/>
    <sheet name="CNA Sample" sheetId="2" state="hidden" r:id="rId2"/>
    <sheet name="CNA Detail" sheetId="7" state="hidden" r:id="rId3"/>
    <sheet name="Dietary Sample" sheetId="3" state="hidden" r:id="rId4"/>
    <sheet name="Dietary Detail" sheetId="8" state="hidden" r:id="rId5"/>
    <sheet name="Activities Sample" sheetId="4" state="hidden" r:id="rId6"/>
    <sheet name="Act detail" sheetId="11" state="hidden" r:id="rId7"/>
    <sheet name="Housekeeping Sample" sheetId="5" state="hidden" r:id="rId8"/>
    <sheet name="HSKG detail" sheetId="12" state="hidden" r:id="rId9"/>
    <sheet name="SAS Data" sheetId="9" state="hidden" r:id="rId10"/>
    <sheet name="Estimator data 120523" sheetId="10" state="hidden" r:id="rId11"/>
  </sheets>
  <definedNames>
    <definedName name="_xlnm._FilterDatabase" localSheetId="4" hidden="1">'Dietary Detail'!$R$1:$U$1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Q4" i="1"/>
  <c r="I4" i="1"/>
  <c r="M4" i="1"/>
  <c r="E4" i="1" l="1"/>
  <c r="AA2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Y2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BB2" i="3"/>
  <c r="BB3" i="3"/>
  <c r="BB4" i="3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Y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AA96" i="5" l="1"/>
  <c r="AA97" i="5"/>
  <c r="K101" i="5" l="1"/>
  <c r="K103" i="5"/>
  <c r="K102" i="5"/>
  <c r="I3" i="1"/>
  <c r="I100" i="2"/>
  <c r="C3" i="4"/>
  <c r="E3" i="4" s="1"/>
  <c r="D3" i="4"/>
  <c r="F3" i="4"/>
  <c r="H3" i="4" s="1"/>
  <c r="G3" i="4"/>
  <c r="I3" i="4"/>
  <c r="I102" i="4" s="1"/>
  <c r="N3" i="4"/>
  <c r="O3" i="4"/>
  <c r="S3" i="4"/>
  <c r="T3" i="4"/>
  <c r="W3" i="4"/>
  <c r="X3" i="4"/>
  <c r="C4" i="4"/>
  <c r="E4" i="4" s="1"/>
  <c r="D4" i="4"/>
  <c r="F4" i="4"/>
  <c r="H4" i="4" s="1"/>
  <c r="G4" i="4"/>
  <c r="I4" i="4"/>
  <c r="N4" i="4"/>
  <c r="O4" i="4"/>
  <c r="S4" i="4"/>
  <c r="U4" i="4" s="1"/>
  <c r="T4" i="4"/>
  <c r="W4" i="4"/>
  <c r="X4" i="4"/>
  <c r="C5" i="4"/>
  <c r="D5" i="4"/>
  <c r="E5" i="4"/>
  <c r="F5" i="4"/>
  <c r="H5" i="4" s="1"/>
  <c r="G5" i="4"/>
  <c r="I5" i="4"/>
  <c r="N5" i="4"/>
  <c r="O5" i="4"/>
  <c r="S5" i="4"/>
  <c r="T5" i="4"/>
  <c r="W5" i="4"/>
  <c r="X5" i="4"/>
  <c r="C6" i="4"/>
  <c r="D6" i="4"/>
  <c r="E6" i="4"/>
  <c r="F6" i="4"/>
  <c r="H6" i="4" s="1"/>
  <c r="G6" i="4"/>
  <c r="S6" i="4" s="1"/>
  <c r="I6" i="4"/>
  <c r="I101" i="4" s="1"/>
  <c r="N6" i="4"/>
  <c r="O6" i="4"/>
  <c r="W6" i="4"/>
  <c r="X6" i="4"/>
  <c r="C7" i="4"/>
  <c r="D7" i="4"/>
  <c r="F7" i="4"/>
  <c r="H7" i="4" s="1"/>
  <c r="G7" i="4"/>
  <c r="S7" i="4" s="1"/>
  <c r="I7" i="4"/>
  <c r="N7" i="4"/>
  <c r="O7" i="4"/>
  <c r="W7" i="4"/>
  <c r="X7" i="4"/>
  <c r="C8" i="4"/>
  <c r="D8" i="4"/>
  <c r="E8" i="4" s="1"/>
  <c r="F8" i="4"/>
  <c r="H8" i="4" s="1"/>
  <c r="G8" i="4"/>
  <c r="S8" i="4" s="1"/>
  <c r="I8" i="4"/>
  <c r="N8" i="4"/>
  <c r="O8" i="4"/>
  <c r="T8" i="4"/>
  <c r="W8" i="4"/>
  <c r="X8" i="4"/>
  <c r="C9" i="4"/>
  <c r="D9" i="4"/>
  <c r="E9" i="4" s="1"/>
  <c r="F9" i="4"/>
  <c r="G9" i="4"/>
  <c r="H9" i="4"/>
  <c r="I9" i="4"/>
  <c r="N9" i="4"/>
  <c r="O9" i="4"/>
  <c r="S9" i="4"/>
  <c r="U9" i="4" s="1"/>
  <c r="T9" i="4"/>
  <c r="V9" i="4" s="1"/>
  <c r="W9" i="4"/>
  <c r="X9" i="4"/>
  <c r="C10" i="4"/>
  <c r="D10" i="4"/>
  <c r="E10" i="4" s="1"/>
  <c r="F10" i="4"/>
  <c r="G10" i="4"/>
  <c r="S10" i="4" s="1"/>
  <c r="I10" i="4"/>
  <c r="N10" i="4"/>
  <c r="O10" i="4"/>
  <c r="W10" i="4"/>
  <c r="X10" i="4"/>
  <c r="C11" i="4"/>
  <c r="E11" i="4" s="1"/>
  <c r="D11" i="4"/>
  <c r="F11" i="4"/>
  <c r="H11" i="4" s="1"/>
  <c r="G11" i="4"/>
  <c r="T11" i="4" s="1"/>
  <c r="I11" i="4"/>
  <c r="N11" i="4"/>
  <c r="O11" i="4"/>
  <c r="W11" i="4"/>
  <c r="X11" i="4"/>
  <c r="C12" i="4"/>
  <c r="D12" i="4"/>
  <c r="F12" i="4"/>
  <c r="H12" i="4" s="1"/>
  <c r="G12" i="4"/>
  <c r="S12" i="4" s="1"/>
  <c r="I12" i="4"/>
  <c r="N12" i="4"/>
  <c r="O12" i="4"/>
  <c r="T12" i="4"/>
  <c r="V12" i="4" s="1"/>
  <c r="W12" i="4"/>
  <c r="X12" i="4"/>
  <c r="C13" i="4"/>
  <c r="D13" i="4"/>
  <c r="F13" i="4"/>
  <c r="G13" i="4"/>
  <c r="H13" i="4"/>
  <c r="I13" i="4"/>
  <c r="N13" i="4"/>
  <c r="O13" i="4"/>
  <c r="S13" i="4"/>
  <c r="T13" i="4"/>
  <c r="W13" i="4"/>
  <c r="X13" i="4"/>
  <c r="C14" i="4"/>
  <c r="D14" i="4"/>
  <c r="F14" i="4"/>
  <c r="G14" i="4"/>
  <c r="S14" i="4" s="1"/>
  <c r="I14" i="4"/>
  <c r="N14" i="4"/>
  <c r="O14" i="4"/>
  <c r="T14" i="4"/>
  <c r="W14" i="4"/>
  <c r="X14" i="4"/>
  <c r="C15" i="4"/>
  <c r="D15" i="4"/>
  <c r="F15" i="4"/>
  <c r="H15" i="4" s="1"/>
  <c r="G15" i="4"/>
  <c r="I15" i="4"/>
  <c r="N15" i="4"/>
  <c r="O15" i="4"/>
  <c r="S15" i="4"/>
  <c r="T15" i="4"/>
  <c r="W15" i="4"/>
  <c r="X15" i="4"/>
  <c r="C16" i="4"/>
  <c r="D16" i="4"/>
  <c r="E16" i="4" s="1"/>
  <c r="F16" i="4"/>
  <c r="H16" i="4" s="1"/>
  <c r="G16" i="4"/>
  <c r="I16" i="4"/>
  <c r="N16" i="4"/>
  <c r="O16" i="4"/>
  <c r="S16" i="4"/>
  <c r="T16" i="4"/>
  <c r="W16" i="4"/>
  <c r="X16" i="4"/>
  <c r="C17" i="4"/>
  <c r="E17" i="4" s="1"/>
  <c r="D17" i="4"/>
  <c r="F17" i="4"/>
  <c r="G17" i="4"/>
  <c r="T17" i="4" s="1"/>
  <c r="H17" i="4"/>
  <c r="I17" i="4"/>
  <c r="N17" i="4"/>
  <c r="O17" i="4"/>
  <c r="S17" i="4"/>
  <c r="W17" i="4"/>
  <c r="X17" i="4"/>
  <c r="C18" i="4"/>
  <c r="D18" i="4"/>
  <c r="E18" i="4" s="1"/>
  <c r="F18" i="4"/>
  <c r="H18" i="4" s="1"/>
  <c r="G18" i="4"/>
  <c r="S18" i="4" s="1"/>
  <c r="I18" i="4"/>
  <c r="N18" i="4"/>
  <c r="O18" i="4"/>
  <c r="T18" i="4"/>
  <c r="W18" i="4"/>
  <c r="X18" i="4"/>
  <c r="C19" i="4"/>
  <c r="E19" i="4" s="1"/>
  <c r="D19" i="4"/>
  <c r="F19" i="4"/>
  <c r="G19" i="4"/>
  <c r="S19" i="4" s="1"/>
  <c r="I19" i="4"/>
  <c r="N19" i="4"/>
  <c r="O19" i="4"/>
  <c r="W19" i="4"/>
  <c r="X19" i="4"/>
  <c r="C20" i="4"/>
  <c r="D20" i="4"/>
  <c r="F20" i="4"/>
  <c r="H20" i="4" s="1"/>
  <c r="G20" i="4"/>
  <c r="S20" i="4" s="1"/>
  <c r="I20" i="4"/>
  <c r="N20" i="4"/>
  <c r="O20" i="4"/>
  <c r="W20" i="4"/>
  <c r="X20" i="4"/>
  <c r="C21" i="4"/>
  <c r="D21" i="4"/>
  <c r="F21" i="4"/>
  <c r="H21" i="4" s="1"/>
  <c r="G21" i="4"/>
  <c r="S21" i="4" s="1"/>
  <c r="I21" i="4"/>
  <c r="N21" i="4"/>
  <c r="O21" i="4"/>
  <c r="W21" i="4"/>
  <c r="X21" i="4"/>
  <c r="C22" i="4"/>
  <c r="D22" i="4"/>
  <c r="E22" i="4" s="1"/>
  <c r="F22" i="4"/>
  <c r="H22" i="4" s="1"/>
  <c r="G22" i="4"/>
  <c r="I22" i="4"/>
  <c r="N22" i="4"/>
  <c r="O22" i="4"/>
  <c r="S22" i="4"/>
  <c r="T22" i="4"/>
  <c r="W22" i="4"/>
  <c r="X22" i="4"/>
  <c r="C23" i="4"/>
  <c r="D23" i="4"/>
  <c r="F23" i="4"/>
  <c r="H23" i="4" s="1"/>
  <c r="G23" i="4"/>
  <c r="S23" i="4" s="1"/>
  <c r="I23" i="4"/>
  <c r="N23" i="4"/>
  <c r="O23" i="4"/>
  <c r="W23" i="4"/>
  <c r="X23" i="4"/>
  <c r="C24" i="4"/>
  <c r="D24" i="4"/>
  <c r="E24" i="4" s="1"/>
  <c r="F24" i="4"/>
  <c r="H24" i="4" s="1"/>
  <c r="G24" i="4"/>
  <c r="T24" i="4" s="1"/>
  <c r="V24" i="4" s="1"/>
  <c r="I24" i="4"/>
  <c r="N24" i="4"/>
  <c r="O24" i="4"/>
  <c r="W24" i="4"/>
  <c r="X24" i="4"/>
  <c r="C25" i="4"/>
  <c r="D25" i="4"/>
  <c r="E25" i="4" s="1"/>
  <c r="F25" i="4"/>
  <c r="H25" i="4" s="1"/>
  <c r="G25" i="4"/>
  <c r="S25" i="4" s="1"/>
  <c r="I25" i="4"/>
  <c r="N25" i="4"/>
  <c r="O25" i="4"/>
  <c r="T25" i="4"/>
  <c r="W25" i="4"/>
  <c r="X25" i="4"/>
  <c r="C26" i="4"/>
  <c r="E26" i="4" s="1"/>
  <c r="D26" i="4"/>
  <c r="F26" i="4"/>
  <c r="G26" i="4"/>
  <c r="H26" i="4"/>
  <c r="I26" i="4"/>
  <c r="N26" i="4"/>
  <c r="O26" i="4"/>
  <c r="S26" i="4"/>
  <c r="T26" i="4"/>
  <c r="W26" i="4"/>
  <c r="X26" i="4"/>
  <c r="C27" i="4"/>
  <c r="D27" i="4"/>
  <c r="F27" i="4"/>
  <c r="G27" i="4"/>
  <c r="S27" i="4" s="1"/>
  <c r="I27" i="4"/>
  <c r="N27" i="4"/>
  <c r="O27" i="4"/>
  <c r="T27" i="4"/>
  <c r="W27" i="4"/>
  <c r="X27" i="4"/>
  <c r="C28" i="4"/>
  <c r="D28" i="4"/>
  <c r="E28" i="4" s="1"/>
  <c r="F28" i="4"/>
  <c r="H28" i="4" s="1"/>
  <c r="G28" i="4"/>
  <c r="I28" i="4"/>
  <c r="N28" i="4"/>
  <c r="O28" i="4"/>
  <c r="S28" i="4"/>
  <c r="T28" i="4"/>
  <c r="W28" i="4"/>
  <c r="X28" i="4"/>
  <c r="C29" i="4"/>
  <c r="D29" i="4"/>
  <c r="E29" i="4" s="1"/>
  <c r="F29" i="4"/>
  <c r="G29" i="4"/>
  <c r="H29" i="4"/>
  <c r="I29" i="4"/>
  <c r="N29" i="4"/>
  <c r="O29" i="4"/>
  <c r="S29" i="4"/>
  <c r="T29" i="4"/>
  <c r="V29" i="4" s="1"/>
  <c r="W29" i="4"/>
  <c r="X29" i="4"/>
  <c r="C30" i="4"/>
  <c r="E30" i="4" s="1"/>
  <c r="D30" i="4"/>
  <c r="F30" i="4"/>
  <c r="G30" i="4"/>
  <c r="T30" i="4" s="1"/>
  <c r="H30" i="4"/>
  <c r="I30" i="4"/>
  <c r="N30" i="4"/>
  <c r="O30" i="4"/>
  <c r="S30" i="4"/>
  <c r="W30" i="4"/>
  <c r="X30" i="4"/>
  <c r="C31" i="4"/>
  <c r="E31" i="4" s="1"/>
  <c r="D31" i="4"/>
  <c r="F31" i="4"/>
  <c r="G31" i="4"/>
  <c r="S31" i="4" s="1"/>
  <c r="I31" i="4"/>
  <c r="N31" i="4"/>
  <c r="O31" i="4"/>
  <c r="W31" i="4"/>
  <c r="X31" i="4"/>
  <c r="C32" i="4"/>
  <c r="D32" i="4"/>
  <c r="F32" i="4"/>
  <c r="H32" i="4" s="1"/>
  <c r="G32" i="4"/>
  <c r="I32" i="4"/>
  <c r="N32" i="4"/>
  <c r="O32" i="4"/>
  <c r="S32" i="4"/>
  <c r="T32" i="4"/>
  <c r="W32" i="4"/>
  <c r="X32" i="4"/>
  <c r="C33" i="4"/>
  <c r="D33" i="4"/>
  <c r="F33" i="4"/>
  <c r="H33" i="4" s="1"/>
  <c r="G33" i="4"/>
  <c r="S33" i="4" s="1"/>
  <c r="I33" i="4"/>
  <c r="N33" i="4"/>
  <c r="O33" i="4"/>
  <c r="W33" i="4"/>
  <c r="X33" i="4"/>
  <c r="C34" i="4"/>
  <c r="E34" i="4" s="1"/>
  <c r="D34" i="4"/>
  <c r="F34" i="4"/>
  <c r="H34" i="4" s="1"/>
  <c r="G34" i="4"/>
  <c r="S34" i="4" s="1"/>
  <c r="U34" i="4" s="1"/>
  <c r="I34" i="4"/>
  <c r="N34" i="4"/>
  <c r="O34" i="4"/>
  <c r="W34" i="4"/>
  <c r="X34" i="4"/>
  <c r="C35" i="4"/>
  <c r="D35" i="4"/>
  <c r="E35" i="4" s="1"/>
  <c r="F35" i="4"/>
  <c r="H35" i="4" s="1"/>
  <c r="G35" i="4"/>
  <c r="S35" i="4" s="1"/>
  <c r="I35" i="4"/>
  <c r="N35" i="4"/>
  <c r="O35" i="4"/>
  <c r="W35" i="4"/>
  <c r="X35" i="4"/>
  <c r="C36" i="4"/>
  <c r="E36" i="4" s="1"/>
  <c r="D36" i="4"/>
  <c r="F36" i="4"/>
  <c r="G36" i="4"/>
  <c r="S36" i="4" s="1"/>
  <c r="I36" i="4"/>
  <c r="N36" i="4"/>
  <c r="O36" i="4"/>
  <c r="W36" i="4"/>
  <c r="X36" i="4"/>
  <c r="C37" i="4"/>
  <c r="D37" i="4"/>
  <c r="E37" i="4" s="1"/>
  <c r="F37" i="4"/>
  <c r="H37" i="4" s="1"/>
  <c r="G37" i="4"/>
  <c r="S37" i="4" s="1"/>
  <c r="I37" i="4"/>
  <c r="N37" i="4"/>
  <c r="O37" i="4"/>
  <c r="T37" i="4"/>
  <c r="W37" i="4"/>
  <c r="X37" i="4"/>
  <c r="C38" i="4"/>
  <c r="D38" i="4"/>
  <c r="E38" i="4" s="1"/>
  <c r="F38" i="4"/>
  <c r="H38" i="4" s="1"/>
  <c r="G38" i="4"/>
  <c r="I38" i="4"/>
  <c r="N38" i="4"/>
  <c r="O38" i="4"/>
  <c r="S38" i="4"/>
  <c r="T38" i="4"/>
  <c r="W38" i="4"/>
  <c r="X38" i="4"/>
  <c r="C39" i="4"/>
  <c r="D39" i="4"/>
  <c r="F39" i="4"/>
  <c r="H39" i="4" s="1"/>
  <c r="G39" i="4"/>
  <c r="S39" i="4" s="1"/>
  <c r="I39" i="4"/>
  <c r="N39" i="4"/>
  <c r="O39" i="4"/>
  <c r="T39" i="4"/>
  <c r="W39" i="4"/>
  <c r="X39" i="4"/>
  <c r="C40" i="4"/>
  <c r="E40" i="4" s="1"/>
  <c r="D40" i="4"/>
  <c r="F40" i="4"/>
  <c r="H40" i="4" s="1"/>
  <c r="G40" i="4"/>
  <c r="S40" i="4" s="1"/>
  <c r="I40" i="4"/>
  <c r="N40" i="4"/>
  <c r="O40" i="4"/>
  <c r="W40" i="4"/>
  <c r="X40" i="4"/>
  <c r="C41" i="4"/>
  <c r="D41" i="4"/>
  <c r="E41" i="4" s="1"/>
  <c r="F41" i="4"/>
  <c r="H41" i="4" s="1"/>
  <c r="G41" i="4"/>
  <c r="I41" i="4"/>
  <c r="N41" i="4"/>
  <c r="O41" i="4"/>
  <c r="S41" i="4"/>
  <c r="T41" i="4"/>
  <c r="W41" i="4"/>
  <c r="X41" i="4"/>
  <c r="C42" i="4"/>
  <c r="D42" i="4"/>
  <c r="E42" i="4" s="1"/>
  <c r="F42" i="4"/>
  <c r="G42" i="4"/>
  <c r="H42" i="4"/>
  <c r="I42" i="4"/>
  <c r="N42" i="4"/>
  <c r="O42" i="4"/>
  <c r="S42" i="4"/>
  <c r="T42" i="4"/>
  <c r="W42" i="4"/>
  <c r="X42" i="4"/>
  <c r="C43" i="4"/>
  <c r="E43" i="4" s="1"/>
  <c r="D43" i="4"/>
  <c r="F43" i="4"/>
  <c r="H43" i="4" s="1"/>
  <c r="G43" i="4"/>
  <c r="S43" i="4" s="1"/>
  <c r="I43" i="4"/>
  <c r="N43" i="4"/>
  <c r="O43" i="4"/>
  <c r="T43" i="4"/>
  <c r="W43" i="4"/>
  <c r="X43" i="4"/>
  <c r="C44" i="4"/>
  <c r="D44" i="4"/>
  <c r="F44" i="4"/>
  <c r="H44" i="4" s="1"/>
  <c r="G44" i="4"/>
  <c r="S44" i="4" s="1"/>
  <c r="I44" i="4"/>
  <c r="N44" i="4"/>
  <c r="O44" i="4"/>
  <c r="T44" i="4"/>
  <c r="W44" i="4"/>
  <c r="X44" i="4"/>
  <c r="C45" i="4"/>
  <c r="D45" i="4"/>
  <c r="E45" i="4" s="1"/>
  <c r="F45" i="4"/>
  <c r="G45" i="4"/>
  <c r="H45" i="4"/>
  <c r="I45" i="4"/>
  <c r="N45" i="4"/>
  <c r="O45" i="4"/>
  <c r="S45" i="4"/>
  <c r="U45" i="4" s="1"/>
  <c r="T45" i="4"/>
  <c r="V45" i="4" s="1"/>
  <c r="W45" i="4"/>
  <c r="X45" i="4"/>
  <c r="C46" i="4"/>
  <c r="D46" i="4"/>
  <c r="F46" i="4"/>
  <c r="G46" i="4"/>
  <c r="T46" i="4" s="1"/>
  <c r="H46" i="4"/>
  <c r="I46" i="4"/>
  <c r="N46" i="4"/>
  <c r="O46" i="4"/>
  <c r="S46" i="4"/>
  <c r="U46" i="4" s="1"/>
  <c r="W46" i="4"/>
  <c r="X46" i="4"/>
  <c r="C47" i="4"/>
  <c r="D47" i="4"/>
  <c r="F47" i="4"/>
  <c r="H47" i="4" s="1"/>
  <c r="G47" i="4"/>
  <c r="S47" i="4" s="1"/>
  <c r="I47" i="4"/>
  <c r="N47" i="4"/>
  <c r="O47" i="4"/>
  <c r="W47" i="4"/>
  <c r="X47" i="4"/>
  <c r="C48" i="4"/>
  <c r="E48" i="4" s="1"/>
  <c r="D48" i="4"/>
  <c r="F48" i="4"/>
  <c r="G48" i="4"/>
  <c r="S48" i="4" s="1"/>
  <c r="I48" i="4"/>
  <c r="N48" i="4"/>
  <c r="O48" i="4"/>
  <c r="W48" i="4"/>
  <c r="X48" i="4"/>
  <c r="C49" i="4"/>
  <c r="D49" i="4"/>
  <c r="F49" i="4"/>
  <c r="G49" i="4"/>
  <c r="S49" i="4" s="1"/>
  <c r="I49" i="4"/>
  <c r="N49" i="4"/>
  <c r="O49" i="4"/>
  <c r="W49" i="4"/>
  <c r="X49" i="4"/>
  <c r="C50" i="4"/>
  <c r="D50" i="4"/>
  <c r="F50" i="4"/>
  <c r="H50" i="4" s="1"/>
  <c r="G50" i="4"/>
  <c r="T50" i="4" s="1"/>
  <c r="V50" i="4" s="1"/>
  <c r="I50" i="4"/>
  <c r="N50" i="4"/>
  <c r="O50" i="4"/>
  <c r="W50" i="4"/>
  <c r="X50" i="4"/>
  <c r="C51" i="4"/>
  <c r="D51" i="4"/>
  <c r="F51" i="4"/>
  <c r="H51" i="4" s="1"/>
  <c r="G51" i="4"/>
  <c r="S51" i="4" s="1"/>
  <c r="I51" i="4"/>
  <c r="N51" i="4"/>
  <c r="O51" i="4"/>
  <c r="W51" i="4"/>
  <c r="X51" i="4"/>
  <c r="C52" i="4"/>
  <c r="E52" i="4" s="1"/>
  <c r="D52" i="4"/>
  <c r="F52" i="4"/>
  <c r="G52" i="4"/>
  <c r="H52" i="4" s="1"/>
  <c r="I52" i="4"/>
  <c r="N52" i="4"/>
  <c r="O52" i="4"/>
  <c r="W52" i="4"/>
  <c r="X52" i="4"/>
  <c r="C53" i="4"/>
  <c r="D53" i="4"/>
  <c r="E53" i="4" s="1"/>
  <c r="F53" i="4"/>
  <c r="H53" i="4" s="1"/>
  <c r="G53" i="4"/>
  <c r="S53" i="4" s="1"/>
  <c r="I53" i="4"/>
  <c r="N53" i="4"/>
  <c r="O53" i="4"/>
  <c r="W53" i="4"/>
  <c r="X53" i="4"/>
  <c r="C54" i="4"/>
  <c r="D54" i="4"/>
  <c r="E54" i="4" s="1"/>
  <c r="F54" i="4"/>
  <c r="H54" i="4" s="1"/>
  <c r="G54" i="4"/>
  <c r="I54" i="4"/>
  <c r="N54" i="4"/>
  <c r="O54" i="4"/>
  <c r="S54" i="4"/>
  <c r="T54" i="4"/>
  <c r="W54" i="4"/>
  <c r="X54" i="4"/>
  <c r="C55" i="4"/>
  <c r="D55" i="4"/>
  <c r="F55" i="4"/>
  <c r="H55" i="4" s="1"/>
  <c r="G55" i="4"/>
  <c r="S55" i="4" s="1"/>
  <c r="I55" i="4"/>
  <c r="N55" i="4"/>
  <c r="O55" i="4"/>
  <c r="W55" i="4"/>
  <c r="X55" i="4"/>
  <c r="C56" i="4"/>
  <c r="E56" i="4" s="1"/>
  <c r="D56" i="4"/>
  <c r="F56" i="4"/>
  <c r="H56" i="4" s="1"/>
  <c r="G56" i="4"/>
  <c r="T56" i="4" s="1"/>
  <c r="V56" i="4" s="1"/>
  <c r="I56" i="4"/>
  <c r="N56" i="4"/>
  <c r="O56" i="4"/>
  <c r="W56" i="4"/>
  <c r="X56" i="4"/>
  <c r="C57" i="4"/>
  <c r="D57" i="4"/>
  <c r="E57" i="4" s="1"/>
  <c r="F57" i="4"/>
  <c r="H57" i="4" s="1"/>
  <c r="G57" i="4"/>
  <c r="S57" i="4" s="1"/>
  <c r="I57" i="4"/>
  <c r="N57" i="4"/>
  <c r="O57" i="4"/>
  <c r="T57" i="4"/>
  <c r="W57" i="4"/>
  <c r="X57" i="4"/>
  <c r="C58" i="4"/>
  <c r="D58" i="4"/>
  <c r="F58" i="4"/>
  <c r="G58" i="4"/>
  <c r="H58" i="4"/>
  <c r="I58" i="4"/>
  <c r="N58" i="4"/>
  <c r="O58" i="4"/>
  <c r="S58" i="4"/>
  <c r="U58" i="4" s="1"/>
  <c r="T58" i="4"/>
  <c r="W58" i="4"/>
  <c r="X58" i="4"/>
  <c r="C59" i="4"/>
  <c r="E59" i="4" s="1"/>
  <c r="D59" i="4"/>
  <c r="F59" i="4"/>
  <c r="H59" i="4" s="1"/>
  <c r="G59" i="4"/>
  <c r="S59" i="4" s="1"/>
  <c r="I59" i="4"/>
  <c r="N59" i="4"/>
  <c r="O59" i="4"/>
  <c r="T59" i="4"/>
  <c r="W59" i="4"/>
  <c r="X59" i="4"/>
  <c r="C60" i="4"/>
  <c r="D60" i="4"/>
  <c r="F60" i="4"/>
  <c r="H60" i="4" s="1"/>
  <c r="G60" i="4"/>
  <c r="I60" i="4"/>
  <c r="N60" i="4"/>
  <c r="O60" i="4"/>
  <c r="S60" i="4"/>
  <c r="T60" i="4"/>
  <c r="W60" i="4"/>
  <c r="X60" i="4"/>
  <c r="C61" i="4"/>
  <c r="D61" i="4"/>
  <c r="E61" i="4" s="1"/>
  <c r="F61" i="4"/>
  <c r="G61" i="4"/>
  <c r="H61" i="4"/>
  <c r="I61" i="4"/>
  <c r="N61" i="4"/>
  <c r="O61" i="4"/>
  <c r="S61" i="4"/>
  <c r="T61" i="4"/>
  <c r="V61" i="4" s="1"/>
  <c r="W61" i="4"/>
  <c r="X61" i="4"/>
  <c r="C62" i="4"/>
  <c r="D62" i="4"/>
  <c r="F62" i="4"/>
  <c r="G62" i="4"/>
  <c r="T62" i="4" s="1"/>
  <c r="H62" i="4"/>
  <c r="I62" i="4"/>
  <c r="N62" i="4"/>
  <c r="O62" i="4"/>
  <c r="S62" i="4"/>
  <c r="U62" i="4" s="1"/>
  <c r="W62" i="4"/>
  <c r="X62" i="4"/>
  <c r="C63" i="4"/>
  <c r="E63" i="4" s="1"/>
  <c r="D63" i="4"/>
  <c r="F63" i="4"/>
  <c r="G63" i="4"/>
  <c r="S63" i="4" s="1"/>
  <c r="I63" i="4"/>
  <c r="N63" i="4"/>
  <c r="O63" i="4"/>
  <c r="W63" i="4"/>
  <c r="X63" i="4"/>
  <c r="C64" i="4"/>
  <c r="E64" i="4" s="1"/>
  <c r="D64" i="4"/>
  <c r="F64" i="4"/>
  <c r="G64" i="4"/>
  <c r="T64" i="4" s="1"/>
  <c r="H64" i="4"/>
  <c r="I64" i="4"/>
  <c r="N64" i="4"/>
  <c r="O64" i="4"/>
  <c r="S64" i="4"/>
  <c r="W64" i="4"/>
  <c r="X64" i="4"/>
  <c r="C65" i="4"/>
  <c r="D65" i="4"/>
  <c r="F65" i="4"/>
  <c r="G65" i="4"/>
  <c r="S65" i="4" s="1"/>
  <c r="I65" i="4"/>
  <c r="N65" i="4"/>
  <c r="O65" i="4"/>
  <c r="W65" i="4"/>
  <c r="X65" i="4"/>
  <c r="C66" i="4"/>
  <c r="D66" i="4"/>
  <c r="F66" i="4"/>
  <c r="G66" i="4"/>
  <c r="H66" i="4"/>
  <c r="I66" i="4"/>
  <c r="N66" i="4"/>
  <c r="O66" i="4"/>
  <c r="S66" i="4"/>
  <c r="T66" i="4"/>
  <c r="V66" i="4" s="1"/>
  <c r="W66" i="4"/>
  <c r="X66" i="4"/>
  <c r="C67" i="4"/>
  <c r="D67" i="4"/>
  <c r="F67" i="4"/>
  <c r="G67" i="4"/>
  <c r="S67" i="4" s="1"/>
  <c r="I67" i="4"/>
  <c r="N67" i="4"/>
  <c r="O67" i="4"/>
  <c r="T67" i="4"/>
  <c r="W67" i="4"/>
  <c r="X67" i="4"/>
  <c r="C68" i="4"/>
  <c r="D68" i="4"/>
  <c r="F68" i="4"/>
  <c r="H68" i="4" s="1"/>
  <c r="G68" i="4"/>
  <c r="T68" i="4" s="1"/>
  <c r="I68" i="4"/>
  <c r="N68" i="4"/>
  <c r="O68" i="4"/>
  <c r="W68" i="4"/>
  <c r="X68" i="4"/>
  <c r="C69" i="4"/>
  <c r="D69" i="4"/>
  <c r="F69" i="4"/>
  <c r="G69" i="4"/>
  <c r="T69" i="4" s="1"/>
  <c r="I69" i="4"/>
  <c r="N69" i="4"/>
  <c r="O69" i="4"/>
  <c r="S69" i="4"/>
  <c r="W69" i="4"/>
  <c r="X69" i="4"/>
  <c r="C70" i="4"/>
  <c r="D70" i="4"/>
  <c r="F70" i="4"/>
  <c r="G70" i="4"/>
  <c r="S70" i="4" s="1"/>
  <c r="I70" i="4"/>
  <c r="N70" i="4"/>
  <c r="O70" i="4"/>
  <c r="W70" i="4"/>
  <c r="X70" i="4"/>
  <c r="C71" i="4"/>
  <c r="D71" i="4"/>
  <c r="F71" i="4"/>
  <c r="H71" i="4" s="1"/>
  <c r="G71" i="4"/>
  <c r="I71" i="4"/>
  <c r="N71" i="4"/>
  <c r="O71" i="4"/>
  <c r="S71" i="4"/>
  <c r="T71" i="4"/>
  <c r="W71" i="4"/>
  <c r="X71" i="4"/>
  <c r="C72" i="4"/>
  <c r="D72" i="4"/>
  <c r="F72" i="4"/>
  <c r="H72" i="4" s="1"/>
  <c r="G72" i="4"/>
  <c r="I72" i="4"/>
  <c r="N72" i="4"/>
  <c r="O72" i="4"/>
  <c r="S72" i="4"/>
  <c r="T72" i="4"/>
  <c r="W72" i="4"/>
  <c r="X72" i="4"/>
  <c r="C73" i="4"/>
  <c r="D73" i="4"/>
  <c r="E73" i="4" s="1"/>
  <c r="F73" i="4"/>
  <c r="H73" i="4" s="1"/>
  <c r="G73" i="4"/>
  <c r="T73" i="4" s="1"/>
  <c r="V73" i="4" s="1"/>
  <c r="I73" i="4"/>
  <c r="N73" i="4"/>
  <c r="O73" i="4"/>
  <c r="W73" i="4"/>
  <c r="X73" i="4"/>
  <c r="C74" i="4"/>
  <c r="D74" i="4"/>
  <c r="F74" i="4"/>
  <c r="H74" i="4" s="1"/>
  <c r="G74" i="4"/>
  <c r="S74" i="4" s="1"/>
  <c r="I74" i="4"/>
  <c r="N74" i="4"/>
  <c r="O74" i="4"/>
  <c r="W74" i="4"/>
  <c r="X74" i="4"/>
  <c r="C75" i="4"/>
  <c r="D75" i="4"/>
  <c r="F75" i="4"/>
  <c r="H75" i="4" s="1"/>
  <c r="G75" i="4"/>
  <c r="T75" i="4" s="1"/>
  <c r="I75" i="4"/>
  <c r="N75" i="4"/>
  <c r="O75" i="4"/>
  <c r="W75" i="4"/>
  <c r="X75" i="4"/>
  <c r="C76" i="4"/>
  <c r="D76" i="4"/>
  <c r="F76" i="4"/>
  <c r="G76" i="4"/>
  <c r="S76" i="4" s="1"/>
  <c r="I76" i="4"/>
  <c r="N76" i="4"/>
  <c r="O76" i="4"/>
  <c r="W76" i="4"/>
  <c r="X76" i="4"/>
  <c r="C77" i="4"/>
  <c r="D77" i="4"/>
  <c r="F77" i="4"/>
  <c r="G77" i="4"/>
  <c r="S77" i="4" s="1"/>
  <c r="I77" i="4"/>
  <c r="N77" i="4"/>
  <c r="O77" i="4"/>
  <c r="W77" i="4"/>
  <c r="X77" i="4"/>
  <c r="C78" i="4"/>
  <c r="D78" i="4"/>
  <c r="F78" i="4"/>
  <c r="H78" i="4" s="1"/>
  <c r="G78" i="4"/>
  <c r="I78" i="4"/>
  <c r="N78" i="4"/>
  <c r="O78" i="4"/>
  <c r="S78" i="4"/>
  <c r="T78" i="4"/>
  <c r="W78" i="4"/>
  <c r="X78" i="4"/>
  <c r="C79" i="4"/>
  <c r="D79" i="4"/>
  <c r="F79" i="4"/>
  <c r="H79" i="4" s="1"/>
  <c r="G79" i="4"/>
  <c r="I79" i="4"/>
  <c r="N79" i="4"/>
  <c r="O79" i="4"/>
  <c r="S79" i="4"/>
  <c r="T79" i="4"/>
  <c r="W79" i="4"/>
  <c r="X79" i="4"/>
  <c r="C80" i="4"/>
  <c r="D80" i="4"/>
  <c r="F80" i="4"/>
  <c r="H80" i="4" s="1"/>
  <c r="G80" i="4"/>
  <c r="T80" i="4" s="1"/>
  <c r="I80" i="4"/>
  <c r="N80" i="4"/>
  <c r="O80" i="4"/>
  <c r="S80" i="4"/>
  <c r="W80" i="4"/>
  <c r="X80" i="4"/>
  <c r="C81" i="4"/>
  <c r="D81" i="4"/>
  <c r="F81" i="4"/>
  <c r="G81" i="4"/>
  <c r="T81" i="4" s="1"/>
  <c r="H81" i="4"/>
  <c r="I81" i="4"/>
  <c r="N81" i="4"/>
  <c r="O81" i="4"/>
  <c r="S81" i="4"/>
  <c r="W81" i="4"/>
  <c r="X81" i="4"/>
  <c r="C82" i="4"/>
  <c r="D82" i="4"/>
  <c r="F82" i="4"/>
  <c r="G82" i="4"/>
  <c r="H82" i="4" s="1"/>
  <c r="I82" i="4"/>
  <c r="N82" i="4"/>
  <c r="O82" i="4"/>
  <c r="W82" i="4"/>
  <c r="X82" i="4"/>
  <c r="C83" i="4"/>
  <c r="D83" i="4"/>
  <c r="F83" i="4"/>
  <c r="G83" i="4"/>
  <c r="S83" i="4" s="1"/>
  <c r="I83" i="4"/>
  <c r="N83" i="4"/>
  <c r="O83" i="4"/>
  <c r="W83" i="4"/>
  <c r="X83" i="4"/>
  <c r="C84" i="4"/>
  <c r="D84" i="4"/>
  <c r="F84" i="4"/>
  <c r="G84" i="4"/>
  <c r="S84" i="4" s="1"/>
  <c r="I84" i="4"/>
  <c r="N84" i="4"/>
  <c r="O84" i="4"/>
  <c r="W84" i="4"/>
  <c r="X84" i="4"/>
  <c r="C85" i="4"/>
  <c r="D85" i="4"/>
  <c r="F85" i="4"/>
  <c r="G85" i="4"/>
  <c r="S85" i="4" s="1"/>
  <c r="I85" i="4"/>
  <c r="N85" i="4"/>
  <c r="O85" i="4"/>
  <c r="T85" i="4"/>
  <c r="W85" i="4"/>
  <c r="X85" i="4"/>
  <c r="C86" i="4"/>
  <c r="D86" i="4"/>
  <c r="F86" i="4"/>
  <c r="H86" i="4" s="1"/>
  <c r="G86" i="4"/>
  <c r="I86" i="4"/>
  <c r="N86" i="4"/>
  <c r="O86" i="4"/>
  <c r="S86" i="4"/>
  <c r="T86" i="4"/>
  <c r="W86" i="4"/>
  <c r="X86" i="4"/>
  <c r="C87" i="4"/>
  <c r="D87" i="4"/>
  <c r="F87" i="4"/>
  <c r="H87" i="4" s="1"/>
  <c r="G87" i="4"/>
  <c r="T87" i="4" s="1"/>
  <c r="I87" i="4"/>
  <c r="N87" i="4"/>
  <c r="O87" i="4"/>
  <c r="S87" i="4"/>
  <c r="W87" i="4"/>
  <c r="X87" i="4"/>
  <c r="C88" i="4"/>
  <c r="D88" i="4"/>
  <c r="F88" i="4"/>
  <c r="G88" i="4"/>
  <c r="T88" i="4" s="1"/>
  <c r="I88" i="4"/>
  <c r="N88" i="4"/>
  <c r="O88" i="4"/>
  <c r="S88" i="4"/>
  <c r="W88" i="4"/>
  <c r="X88" i="4"/>
  <c r="C89" i="4"/>
  <c r="D89" i="4"/>
  <c r="E89" i="4" s="1"/>
  <c r="F89" i="4"/>
  <c r="G89" i="4"/>
  <c r="H89" i="4"/>
  <c r="I89" i="4"/>
  <c r="N89" i="4"/>
  <c r="O89" i="4"/>
  <c r="S89" i="4"/>
  <c r="T89" i="4"/>
  <c r="W89" i="4"/>
  <c r="X89" i="4"/>
  <c r="C90" i="4"/>
  <c r="D90" i="4"/>
  <c r="F90" i="4"/>
  <c r="G90" i="4"/>
  <c r="T90" i="4" s="1"/>
  <c r="I90" i="4"/>
  <c r="N90" i="4"/>
  <c r="O90" i="4"/>
  <c r="S90" i="4"/>
  <c r="W90" i="4"/>
  <c r="X90" i="4"/>
  <c r="C91" i="4"/>
  <c r="D91" i="4"/>
  <c r="F91" i="4"/>
  <c r="G91" i="4"/>
  <c r="S91" i="4" s="1"/>
  <c r="I91" i="4"/>
  <c r="N91" i="4"/>
  <c r="O91" i="4"/>
  <c r="W91" i="4"/>
  <c r="X91" i="4"/>
  <c r="C92" i="4"/>
  <c r="D92" i="4"/>
  <c r="F92" i="4"/>
  <c r="G92" i="4"/>
  <c r="T92" i="4" s="1"/>
  <c r="I92" i="4"/>
  <c r="N92" i="4"/>
  <c r="O92" i="4"/>
  <c r="S92" i="4"/>
  <c r="W92" i="4"/>
  <c r="X92" i="4"/>
  <c r="C93" i="4"/>
  <c r="D93" i="4"/>
  <c r="E93" i="4" s="1"/>
  <c r="F93" i="4"/>
  <c r="G93" i="4"/>
  <c r="T93" i="4" s="1"/>
  <c r="I93" i="4"/>
  <c r="N93" i="4"/>
  <c r="O93" i="4"/>
  <c r="S93" i="4"/>
  <c r="W93" i="4"/>
  <c r="X93" i="4"/>
  <c r="C94" i="4"/>
  <c r="D94" i="4"/>
  <c r="F94" i="4"/>
  <c r="H94" i="4" s="1"/>
  <c r="G94" i="4"/>
  <c r="S94" i="4" s="1"/>
  <c r="I94" i="4"/>
  <c r="N94" i="4"/>
  <c r="O94" i="4"/>
  <c r="W94" i="4"/>
  <c r="X94" i="4"/>
  <c r="C95" i="4"/>
  <c r="D95" i="4"/>
  <c r="E95" i="4" s="1"/>
  <c r="F95" i="4"/>
  <c r="G95" i="4"/>
  <c r="S95" i="4" s="1"/>
  <c r="I95" i="4"/>
  <c r="N95" i="4"/>
  <c r="O95" i="4"/>
  <c r="W95" i="4"/>
  <c r="X95" i="4"/>
  <c r="C96" i="4"/>
  <c r="D96" i="4"/>
  <c r="F96" i="4"/>
  <c r="G96" i="4"/>
  <c r="S96" i="4" s="1"/>
  <c r="I96" i="4"/>
  <c r="N96" i="4"/>
  <c r="O96" i="4"/>
  <c r="W96" i="4"/>
  <c r="X96" i="4"/>
  <c r="C97" i="4"/>
  <c r="D97" i="4"/>
  <c r="F97" i="4"/>
  <c r="G97" i="4"/>
  <c r="T97" i="4" s="1"/>
  <c r="I97" i="4"/>
  <c r="N97" i="4"/>
  <c r="O97" i="4"/>
  <c r="S97" i="4"/>
  <c r="W97" i="4"/>
  <c r="X97" i="4"/>
  <c r="C98" i="4"/>
  <c r="D98" i="4"/>
  <c r="F98" i="4"/>
  <c r="H98" i="4" s="1"/>
  <c r="G98" i="4"/>
  <c r="S98" i="4" s="1"/>
  <c r="I98" i="4"/>
  <c r="N98" i="4"/>
  <c r="O98" i="4"/>
  <c r="W98" i="4"/>
  <c r="X98" i="4"/>
  <c r="O2" i="4"/>
  <c r="N2" i="4"/>
  <c r="G2" i="4"/>
  <c r="F2" i="4"/>
  <c r="D2" i="4"/>
  <c r="C2" i="4"/>
  <c r="V81" i="4" l="1"/>
  <c r="U72" i="4"/>
  <c r="V64" i="4"/>
  <c r="V62" i="4"/>
  <c r="U47" i="4"/>
  <c r="V46" i="4"/>
  <c r="U30" i="4"/>
  <c r="V30" i="4"/>
  <c r="V25" i="4"/>
  <c r="U22" i="4"/>
  <c r="V17" i="4"/>
  <c r="U16" i="4"/>
  <c r="U7" i="4"/>
  <c r="O102" i="4"/>
  <c r="N102" i="4"/>
  <c r="N103" i="4"/>
  <c r="O103" i="4"/>
  <c r="O101" i="4"/>
  <c r="N101" i="4"/>
  <c r="U33" i="4"/>
  <c r="U18" i="4"/>
  <c r="V15" i="4"/>
  <c r="U12" i="4"/>
  <c r="N100" i="4"/>
  <c r="V37" i="4"/>
  <c r="O100" i="4"/>
  <c r="U71" i="4"/>
  <c r="U80" i="4"/>
  <c r="U60" i="4"/>
  <c r="V28" i="4"/>
  <c r="U87" i="4"/>
  <c r="U79" i="4"/>
  <c r="V60" i="4"/>
  <c r="V16" i="4"/>
  <c r="V3" i="4"/>
  <c r="V57" i="4"/>
  <c r="V11" i="4"/>
  <c r="U8" i="4"/>
  <c r="V8" i="4"/>
  <c r="U3" i="4"/>
  <c r="U53" i="4"/>
  <c r="U44" i="4"/>
  <c r="V44" i="4"/>
  <c r="U37" i="4"/>
  <c r="U21" i="4"/>
  <c r="U57" i="4"/>
  <c r="U40" i="4"/>
  <c r="V32" i="4"/>
  <c r="U25" i="4"/>
  <c r="U20" i="4"/>
  <c r="V4" i="4"/>
  <c r="V41" i="4"/>
  <c r="T94" i="4"/>
  <c r="T98" i="4"/>
  <c r="V98" i="4" s="1"/>
  <c r="H93" i="4"/>
  <c r="U93" i="4" s="1"/>
  <c r="T82" i="4"/>
  <c r="V82" i="4" s="1"/>
  <c r="E82" i="4"/>
  <c r="E77" i="4"/>
  <c r="S75" i="4"/>
  <c r="S73" i="4"/>
  <c r="E70" i="4"/>
  <c r="S68" i="4"/>
  <c r="H67" i="4"/>
  <c r="U67" i="4" s="1"/>
  <c r="E65" i="4"/>
  <c r="S56" i="4"/>
  <c r="U56" i="4" s="1"/>
  <c r="T52" i="4"/>
  <c r="V52" i="4" s="1"/>
  <c r="S50" i="4"/>
  <c r="U50" i="4" s="1"/>
  <c r="T48" i="4"/>
  <c r="E46" i="4"/>
  <c r="T35" i="4"/>
  <c r="T33" i="4"/>
  <c r="V33" i="4" s="1"/>
  <c r="E33" i="4"/>
  <c r="H27" i="4"/>
  <c r="S24" i="4"/>
  <c r="U24" i="4" s="1"/>
  <c r="T20" i="4"/>
  <c r="V20" i="4" s="1"/>
  <c r="E20" i="4"/>
  <c r="H14" i="4"/>
  <c r="S11" i="4"/>
  <c r="U11" i="4" s="1"/>
  <c r="T7" i="4"/>
  <c r="V7" i="4" s="1"/>
  <c r="V5" i="4"/>
  <c r="T96" i="4"/>
  <c r="T91" i="4"/>
  <c r="V89" i="4"/>
  <c r="T84" i="4"/>
  <c r="S82" i="4"/>
  <c r="T77" i="4"/>
  <c r="T70" i="4"/>
  <c r="T65" i="4"/>
  <c r="U64" i="4"/>
  <c r="T63" i="4"/>
  <c r="S52" i="4"/>
  <c r="U52" i="4" s="1"/>
  <c r="H49" i="4"/>
  <c r="U49" i="4" s="1"/>
  <c r="V42" i="4"/>
  <c r="H36" i="4"/>
  <c r="U36" i="4" s="1"/>
  <c r="T31" i="4"/>
  <c r="E14" i="4"/>
  <c r="H10" i="4"/>
  <c r="E7" i="4"/>
  <c r="U5" i="4"/>
  <c r="H97" i="4"/>
  <c r="U97" i="4" s="1"/>
  <c r="H95" i="4"/>
  <c r="U95" i="4" s="1"/>
  <c r="H92" i="4"/>
  <c r="V92" i="4" s="1"/>
  <c r="H90" i="4"/>
  <c r="V90" i="4" s="1"/>
  <c r="H83" i="4"/>
  <c r="U83" i="4" s="1"/>
  <c r="H76" i="4"/>
  <c r="U76" i="4" s="1"/>
  <c r="H69" i="4"/>
  <c r="V69" i="4" s="1"/>
  <c r="U61" i="4"/>
  <c r="U42" i="4"/>
  <c r="V38" i="4"/>
  <c r="U29" i="4"/>
  <c r="E27" i="4"/>
  <c r="U26" i="4"/>
  <c r="H19" i="4"/>
  <c r="H88" i="4"/>
  <c r="T74" i="4"/>
  <c r="V74" i="4" s="1"/>
  <c r="E74" i="4"/>
  <c r="V72" i="4"/>
  <c r="E69" i="4"/>
  <c r="T55" i="4"/>
  <c r="E55" i="4"/>
  <c r="T53" i="4"/>
  <c r="V53" i="4" s="1"/>
  <c r="T47" i="4"/>
  <c r="V47" i="4" s="1"/>
  <c r="E44" i="4"/>
  <c r="T40" i="4"/>
  <c r="V40" i="4" s="1"/>
  <c r="U38" i="4"/>
  <c r="T34" i="4"/>
  <c r="V34" i="4" s="1"/>
  <c r="T23" i="4"/>
  <c r="E23" i="4"/>
  <c r="T21" i="4"/>
  <c r="V21" i="4" s="1"/>
  <c r="E12" i="4"/>
  <c r="T10" i="4"/>
  <c r="T95" i="4"/>
  <c r="H85" i="4"/>
  <c r="V85" i="4" s="1"/>
  <c r="T83" i="4"/>
  <c r="V83" i="4" s="1"/>
  <c r="E81" i="4"/>
  <c r="T76" i="4"/>
  <c r="E62" i="4"/>
  <c r="T51" i="4"/>
  <c r="E51" i="4"/>
  <c r="T49" i="4"/>
  <c r="V49" i="4" s="1"/>
  <c r="E49" i="4"/>
  <c r="E47" i="4"/>
  <c r="T36" i="4"/>
  <c r="V36" i="4" s="1"/>
  <c r="E21" i="4"/>
  <c r="T19" i="4"/>
  <c r="T6" i="4"/>
  <c r="E97" i="4"/>
  <c r="E85" i="4"/>
  <c r="E78" i="4"/>
  <c r="U75" i="4"/>
  <c r="U68" i="4"/>
  <c r="E66" i="4"/>
  <c r="V58" i="4"/>
  <c r="E58" i="4"/>
  <c r="E32" i="4"/>
  <c r="V26" i="4"/>
  <c r="U17" i="4"/>
  <c r="V13" i="4"/>
  <c r="E13" i="4"/>
  <c r="V54" i="4"/>
  <c r="H48" i="4"/>
  <c r="U32" i="4"/>
  <c r="V22" i="4"/>
  <c r="U13" i="4"/>
  <c r="H96" i="4"/>
  <c r="H91" i="4"/>
  <c r="U91" i="4" s="1"/>
  <c r="H84" i="4"/>
  <c r="H77" i="4"/>
  <c r="V77" i="4" s="1"/>
  <c r="E75" i="4"/>
  <c r="H70" i="4"/>
  <c r="H65" i="4"/>
  <c r="H63" i="4"/>
  <c r="U63" i="4" s="1"/>
  <c r="E60" i="4"/>
  <c r="U54" i="4"/>
  <c r="E50" i="4"/>
  <c r="U41" i="4"/>
  <c r="E39" i="4"/>
  <c r="H31" i="4"/>
  <c r="U28" i="4"/>
  <c r="V18" i="4"/>
  <c r="U15" i="4"/>
  <c r="E15" i="4"/>
  <c r="I101" i="2"/>
  <c r="I102" i="2"/>
  <c r="I103" i="2"/>
  <c r="V95" i="4"/>
  <c r="V88" i="4"/>
  <c r="V86" i="4"/>
  <c r="V84" i="4"/>
  <c r="V71" i="4"/>
  <c r="V80" i="4"/>
  <c r="V78" i="4"/>
  <c r="V76" i="4"/>
  <c r="V65" i="4"/>
  <c r="V96" i="4"/>
  <c r="V94" i="4"/>
  <c r="V87" i="4"/>
  <c r="V68" i="4"/>
  <c r="V79" i="4"/>
  <c r="V75" i="4"/>
  <c r="U6" i="4"/>
  <c r="V6" i="4"/>
  <c r="E94" i="4"/>
  <c r="U88" i="4"/>
  <c r="E86" i="4"/>
  <c r="U65" i="4"/>
  <c r="U59" i="4"/>
  <c r="V59" i="4"/>
  <c r="U27" i="4"/>
  <c r="V27" i="4"/>
  <c r="U89" i="4"/>
  <c r="E87" i="4"/>
  <c r="U81" i="4"/>
  <c r="E79" i="4"/>
  <c r="U73" i="4"/>
  <c r="E71" i="4"/>
  <c r="U66" i="4"/>
  <c r="U48" i="4"/>
  <c r="V48" i="4"/>
  <c r="U39" i="4"/>
  <c r="V39" i="4"/>
  <c r="E96" i="4"/>
  <c r="E88" i="4"/>
  <c r="U82" i="4"/>
  <c r="E80" i="4"/>
  <c r="U74" i="4"/>
  <c r="E72" i="4"/>
  <c r="U51" i="4"/>
  <c r="V51" i="4"/>
  <c r="U31" i="4"/>
  <c r="V31" i="4"/>
  <c r="E98" i="4"/>
  <c r="U92" i="4"/>
  <c r="E90" i="4"/>
  <c r="U84" i="4"/>
  <c r="U43" i="4"/>
  <c r="V43" i="4"/>
  <c r="U96" i="4"/>
  <c r="U98" i="4"/>
  <c r="E91" i="4"/>
  <c r="U85" i="4"/>
  <c r="E83" i="4"/>
  <c r="U77" i="4"/>
  <c r="U69" i="4"/>
  <c r="E67" i="4"/>
  <c r="U55" i="4"/>
  <c r="V55" i="4"/>
  <c r="U23" i="4"/>
  <c r="V23" i="4"/>
  <c r="U14" i="4"/>
  <c r="V14" i="4"/>
  <c r="U94" i="4"/>
  <c r="E92" i="4"/>
  <c r="U86" i="4"/>
  <c r="E84" i="4"/>
  <c r="U78" i="4"/>
  <c r="E76" i="4"/>
  <c r="U70" i="4"/>
  <c r="E68" i="4"/>
  <c r="U35" i="4"/>
  <c r="V35" i="4"/>
  <c r="V70" i="4" l="1"/>
  <c r="V10" i="4"/>
  <c r="U90" i="4"/>
  <c r="V93" i="4"/>
  <c r="V67" i="4"/>
  <c r="U10" i="4"/>
  <c r="V19" i="4"/>
  <c r="V63" i="4"/>
  <c r="V91" i="4"/>
  <c r="U19" i="4"/>
  <c r="V97" i="4"/>
  <c r="E6" i="1"/>
  <c r="C3" i="5"/>
  <c r="E3" i="5" s="1"/>
  <c r="D3" i="5"/>
  <c r="F3" i="5"/>
  <c r="G3" i="5"/>
  <c r="V3" i="5" s="1"/>
  <c r="I3" i="5"/>
  <c r="J3" i="5" s="1"/>
  <c r="K3" i="5"/>
  <c r="P3" i="5"/>
  <c r="Q3" i="5"/>
  <c r="Y3" i="5"/>
  <c r="Z3" i="5"/>
  <c r="C4" i="5"/>
  <c r="E4" i="5" s="1"/>
  <c r="D4" i="5"/>
  <c r="F4" i="5"/>
  <c r="H4" i="5" s="1"/>
  <c r="G4" i="5"/>
  <c r="I4" i="5"/>
  <c r="K4" i="5"/>
  <c r="P4" i="5"/>
  <c r="Q4" i="5"/>
  <c r="U4" i="5"/>
  <c r="W4" i="5" s="1"/>
  <c r="V4" i="5"/>
  <c r="X4" i="5" s="1"/>
  <c r="Y4" i="5"/>
  <c r="Z4" i="5"/>
  <c r="C5" i="5"/>
  <c r="D5" i="5"/>
  <c r="F5" i="5"/>
  <c r="H5" i="5" s="1"/>
  <c r="G5" i="5"/>
  <c r="I5" i="5"/>
  <c r="K5" i="5"/>
  <c r="P5" i="5"/>
  <c r="Q5" i="5"/>
  <c r="U5" i="5"/>
  <c r="W5" i="5" s="1"/>
  <c r="V5" i="5"/>
  <c r="X5" i="5" s="1"/>
  <c r="Y5" i="5"/>
  <c r="Z5" i="5"/>
  <c r="C6" i="5"/>
  <c r="D6" i="5"/>
  <c r="E6" i="5"/>
  <c r="F6" i="5"/>
  <c r="H6" i="5" s="1"/>
  <c r="G6" i="5"/>
  <c r="I6" i="5"/>
  <c r="J6" i="5"/>
  <c r="K6" i="5"/>
  <c r="P6" i="5"/>
  <c r="Q6" i="5"/>
  <c r="U6" i="5"/>
  <c r="W6" i="5" s="1"/>
  <c r="V6" i="5"/>
  <c r="X6" i="5" s="1"/>
  <c r="Y6" i="5"/>
  <c r="Z6" i="5"/>
  <c r="C7" i="5"/>
  <c r="D7" i="5"/>
  <c r="E7" i="5" s="1"/>
  <c r="F7" i="5"/>
  <c r="H7" i="5" s="1"/>
  <c r="G7" i="5"/>
  <c r="I7" i="5"/>
  <c r="K7" i="5"/>
  <c r="P7" i="5"/>
  <c r="Q7" i="5"/>
  <c r="U7" i="5"/>
  <c r="W7" i="5" s="1"/>
  <c r="V7" i="5"/>
  <c r="Y7" i="5"/>
  <c r="Z7" i="5"/>
  <c r="C8" i="5"/>
  <c r="E8" i="5" s="1"/>
  <c r="D8" i="5"/>
  <c r="F8" i="5"/>
  <c r="G8" i="5"/>
  <c r="U8" i="5" s="1"/>
  <c r="H8" i="5"/>
  <c r="I8" i="5"/>
  <c r="J8" i="5" s="1"/>
  <c r="K8" i="5"/>
  <c r="P8" i="5"/>
  <c r="Q8" i="5"/>
  <c r="V8" i="5"/>
  <c r="Y8" i="5"/>
  <c r="Z8" i="5"/>
  <c r="C9" i="5"/>
  <c r="D9" i="5"/>
  <c r="E9" i="5" s="1"/>
  <c r="F9" i="5"/>
  <c r="G9" i="5"/>
  <c r="V9" i="5" s="1"/>
  <c r="I9" i="5"/>
  <c r="K9" i="5"/>
  <c r="P9" i="5"/>
  <c r="Q9" i="5"/>
  <c r="Y9" i="5"/>
  <c r="Z9" i="5"/>
  <c r="C10" i="5"/>
  <c r="D10" i="5"/>
  <c r="E10" i="5"/>
  <c r="F10" i="5"/>
  <c r="G10" i="5"/>
  <c r="U10" i="5" s="1"/>
  <c r="H10" i="5"/>
  <c r="I10" i="5"/>
  <c r="J10" i="5"/>
  <c r="K10" i="5"/>
  <c r="P10" i="5"/>
  <c r="Q10" i="5"/>
  <c r="V10" i="5"/>
  <c r="X10" i="5" s="1"/>
  <c r="Y10" i="5"/>
  <c r="Z10" i="5"/>
  <c r="C11" i="5"/>
  <c r="D11" i="5"/>
  <c r="E11" i="5" s="1"/>
  <c r="F11" i="5"/>
  <c r="H11" i="5" s="1"/>
  <c r="G11" i="5"/>
  <c r="I11" i="5"/>
  <c r="K11" i="5"/>
  <c r="P11" i="5"/>
  <c r="Q11" i="5"/>
  <c r="U11" i="5"/>
  <c r="W11" i="5" s="1"/>
  <c r="V11" i="5"/>
  <c r="Y11" i="5"/>
  <c r="Z11" i="5"/>
  <c r="C12" i="5"/>
  <c r="E12" i="5" s="1"/>
  <c r="D12" i="5"/>
  <c r="F12" i="5"/>
  <c r="H12" i="5" s="1"/>
  <c r="G12" i="5"/>
  <c r="U12" i="5" s="1"/>
  <c r="I12" i="5"/>
  <c r="J12" i="5"/>
  <c r="K12" i="5"/>
  <c r="P12" i="5"/>
  <c r="Q12" i="5"/>
  <c r="V12" i="5"/>
  <c r="Y12" i="5"/>
  <c r="Z12" i="5"/>
  <c r="C13" i="5"/>
  <c r="D13" i="5"/>
  <c r="E13" i="5" s="1"/>
  <c r="F13" i="5"/>
  <c r="H13" i="5" s="1"/>
  <c r="G13" i="5"/>
  <c r="I13" i="5"/>
  <c r="K13" i="5"/>
  <c r="P13" i="5"/>
  <c r="Q13" i="5"/>
  <c r="U13" i="5"/>
  <c r="V13" i="5"/>
  <c r="Y13" i="5"/>
  <c r="Z13" i="5"/>
  <c r="C14" i="5"/>
  <c r="D14" i="5"/>
  <c r="E14" i="5"/>
  <c r="F14" i="5"/>
  <c r="H14" i="5" s="1"/>
  <c r="G14" i="5"/>
  <c r="I14" i="5"/>
  <c r="J14" i="5"/>
  <c r="K14" i="5"/>
  <c r="P14" i="5"/>
  <c r="Q14" i="5"/>
  <c r="U14" i="5"/>
  <c r="W14" i="5" s="1"/>
  <c r="V14" i="5"/>
  <c r="X14" i="5" s="1"/>
  <c r="Y14" i="5"/>
  <c r="Z14" i="5"/>
  <c r="C15" i="5"/>
  <c r="D15" i="5"/>
  <c r="E15" i="5" s="1"/>
  <c r="F15" i="5"/>
  <c r="G15" i="5"/>
  <c r="U15" i="5" s="1"/>
  <c r="I15" i="5"/>
  <c r="K15" i="5"/>
  <c r="P15" i="5"/>
  <c r="Q15" i="5"/>
  <c r="Y15" i="5"/>
  <c r="Z15" i="5"/>
  <c r="C16" i="5"/>
  <c r="E16" i="5" s="1"/>
  <c r="D16" i="5"/>
  <c r="F16" i="5"/>
  <c r="G16" i="5"/>
  <c r="H16" i="5"/>
  <c r="I16" i="5"/>
  <c r="J16" i="5"/>
  <c r="K16" i="5"/>
  <c r="P16" i="5"/>
  <c r="Q16" i="5"/>
  <c r="U16" i="5"/>
  <c r="W16" i="5" s="1"/>
  <c r="V16" i="5"/>
  <c r="Y16" i="5"/>
  <c r="Z16" i="5"/>
  <c r="C17" i="5"/>
  <c r="D17" i="5"/>
  <c r="F17" i="5"/>
  <c r="H17" i="5" s="1"/>
  <c r="G17" i="5"/>
  <c r="V17" i="5" s="1"/>
  <c r="I17" i="5"/>
  <c r="K17" i="5"/>
  <c r="P17" i="5"/>
  <c r="Q17" i="5"/>
  <c r="U17" i="5"/>
  <c r="W17" i="5" s="1"/>
  <c r="Y17" i="5"/>
  <c r="Z17" i="5"/>
  <c r="C18" i="5"/>
  <c r="D18" i="5"/>
  <c r="E18" i="5"/>
  <c r="F18" i="5"/>
  <c r="G18" i="5"/>
  <c r="H18" i="5" s="1"/>
  <c r="I18" i="5"/>
  <c r="J18" i="5" s="1"/>
  <c r="K18" i="5"/>
  <c r="P18" i="5"/>
  <c r="Q18" i="5"/>
  <c r="Y18" i="5"/>
  <c r="Z18" i="5"/>
  <c r="C19" i="5"/>
  <c r="E19" i="5" s="1"/>
  <c r="D19" i="5"/>
  <c r="F19" i="5"/>
  <c r="H19" i="5" s="1"/>
  <c r="G19" i="5"/>
  <c r="V19" i="5" s="1"/>
  <c r="I19" i="5"/>
  <c r="K19" i="5"/>
  <c r="P19" i="5"/>
  <c r="Q19" i="5"/>
  <c r="U19" i="5"/>
  <c r="W19" i="5" s="1"/>
  <c r="Y19" i="5"/>
  <c r="Z19" i="5"/>
  <c r="C20" i="5"/>
  <c r="D20" i="5"/>
  <c r="E20" i="5"/>
  <c r="F20" i="5"/>
  <c r="G20" i="5"/>
  <c r="H20" i="5" s="1"/>
  <c r="I20" i="5"/>
  <c r="J20" i="5" s="1"/>
  <c r="K20" i="5"/>
  <c r="P20" i="5"/>
  <c r="Q20" i="5"/>
  <c r="Y20" i="5"/>
  <c r="Z20" i="5"/>
  <c r="C21" i="5"/>
  <c r="E21" i="5" s="1"/>
  <c r="D21" i="5"/>
  <c r="F21" i="5"/>
  <c r="H21" i="5" s="1"/>
  <c r="G21" i="5"/>
  <c r="V21" i="5" s="1"/>
  <c r="I21" i="5"/>
  <c r="K21" i="5"/>
  <c r="P21" i="5"/>
  <c r="Q21" i="5"/>
  <c r="U21" i="5"/>
  <c r="W21" i="5" s="1"/>
  <c r="Y21" i="5"/>
  <c r="Z21" i="5"/>
  <c r="C22" i="5"/>
  <c r="D22" i="5"/>
  <c r="E22" i="5"/>
  <c r="F22" i="5"/>
  <c r="G22" i="5"/>
  <c r="H22" i="5" s="1"/>
  <c r="I22" i="5"/>
  <c r="J22" i="5" s="1"/>
  <c r="K22" i="5"/>
  <c r="P22" i="5"/>
  <c r="Q22" i="5"/>
  <c r="Y22" i="5"/>
  <c r="Z22" i="5"/>
  <c r="C23" i="5"/>
  <c r="E23" i="5" s="1"/>
  <c r="D23" i="5"/>
  <c r="F23" i="5"/>
  <c r="G23" i="5"/>
  <c r="V23" i="5" s="1"/>
  <c r="I23" i="5"/>
  <c r="K23" i="5"/>
  <c r="P23" i="5"/>
  <c r="Q23" i="5"/>
  <c r="U23" i="5"/>
  <c r="W23" i="5" s="1"/>
  <c r="Y23" i="5"/>
  <c r="Z23" i="5"/>
  <c r="C24" i="5"/>
  <c r="D24" i="5"/>
  <c r="E24" i="5"/>
  <c r="F24" i="5"/>
  <c r="G24" i="5"/>
  <c r="H24" i="5" s="1"/>
  <c r="I24" i="5"/>
  <c r="J24" i="5" s="1"/>
  <c r="K24" i="5"/>
  <c r="P24" i="5"/>
  <c r="Q24" i="5"/>
  <c r="Y24" i="5"/>
  <c r="Z24" i="5"/>
  <c r="C25" i="5"/>
  <c r="E25" i="5" s="1"/>
  <c r="D25" i="5"/>
  <c r="F25" i="5"/>
  <c r="G25" i="5"/>
  <c r="V25" i="5" s="1"/>
  <c r="I25" i="5"/>
  <c r="K25" i="5"/>
  <c r="P25" i="5"/>
  <c r="Q25" i="5"/>
  <c r="U25" i="5"/>
  <c r="W25" i="5" s="1"/>
  <c r="Y25" i="5"/>
  <c r="Z25" i="5"/>
  <c r="C26" i="5"/>
  <c r="D26" i="5"/>
  <c r="E26" i="5"/>
  <c r="F26" i="5"/>
  <c r="G26" i="5"/>
  <c r="H26" i="5" s="1"/>
  <c r="I26" i="5"/>
  <c r="J26" i="5" s="1"/>
  <c r="K26" i="5"/>
  <c r="P26" i="5"/>
  <c r="Q26" i="5"/>
  <c r="Y26" i="5"/>
  <c r="Z26" i="5"/>
  <c r="C27" i="5"/>
  <c r="E27" i="5" s="1"/>
  <c r="D27" i="5"/>
  <c r="F27" i="5"/>
  <c r="G27" i="5"/>
  <c r="V27" i="5" s="1"/>
  <c r="I27" i="5"/>
  <c r="K27" i="5"/>
  <c r="P27" i="5"/>
  <c r="Q27" i="5"/>
  <c r="U27" i="5"/>
  <c r="W27" i="5" s="1"/>
  <c r="Y27" i="5"/>
  <c r="Z27" i="5"/>
  <c r="C28" i="5"/>
  <c r="D28" i="5"/>
  <c r="E28" i="5"/>
  <c r="F28" i="5"/>
  <c r="G28" i="5"/>
  <c r="H28" i="5" s="1"/>
  <c r="I28" i="5"/>
  <c r="J28" i="5" s="1"/>
  <c r="K28" i="5"/>
  <c r="P28" i="5"/>
  <c r="Q28" i="5"/>
  <c r="Y28" i="5"/>
  <c r="Z28" i="5"/>
  <c r="C29" i="5"/>
  <c r="E29" i="5" s="1"/>
  <c r="D29" i="5"/>
  <c r="F29" i="5"/>
  <c r="G29" i="5"/>
  <c r="V29" i="5" s="1"/>
  <c r="I29" i="5"/>
  <c r="K29" i="5"/>
  <c r="P29" i="5"/>
  <c r="Q29" i="5"/>
  <c r="U29" i="5"/>
  <c r="W29" i="5" s="1"/>
  <c r="Y29" i="5"/>
  <c r="Z29" i="5"/>
  <c r="C30" i="5"/>
  <c r="D30" i="5"/>
  <c r="E30" i="5"/>
  <c r="F30" i="5"/>
  <c r="G30" i="5"/>
  <c r="H30" i="5" s="1"/>
  <c r="I30" i="5"/>
  <c r="J30" i="5" s="1"/>
  <c r="K30" i="5"/>
  <c r="P30" i="5"/>
  <c r="Q30" i="5"/>
  <c r="Y30" i="5"/>
  <c r="Z30" i="5"/>
  <c r="C31" i="5"/>
  <c r="E31" i="5" s="1"/>
  <c r="D31" i="5"/>
  <c r="F31" i="5"/>
  <c r="G31" i="5"/>
  <c r="V31" i="5" s="1"/>
  <c r="I31" i="5"/>
  <c r="K31" i="5"/>
  <c r="P31" i="5"/>
  <c r="Q31" i="5"/>
  <c r="U31" i="5"/>
  <c r="W31" i="5" s="1"/>
  <c r="Y31" i="5"/>
  <c r="Z31" i="5"/>
  <c r="C32" i="5"/>
  <c r="D32" i="5"/>
  <c r="E32" i="5"/>
  <c r="F32" i="5"/>
  <c r="G32" i="5"/>
  <c r="H32" i="5" s="1"/>
  <c r="I32" i="5"/>
  <c r="J32" i="5" s="1"/>
  <c r="K32" i="5"/>
  <c r="P32" i="5"/>
  <c r="Q32" i="5"/>
  <c r="Y32" i="5"/>
  <c r="Z32" i="5"/>
  <c r="C33" i="5"/>
  <c r="E33" i="5" s="1"/>
  <c r="D33" i="5"/>
  <c r="F33" i="5"/>
  <c r="G33" i="5"/>
  <c r="V33" i="5" s="1"/>
  <c r="I33" i="5"/>
  <c r="K33" i="5"/>
  <c r="P33" i="5"/>
  <c r="Q33" i="5"/>
  <c r="U33" i="5"/>
  <c r="W33" i="5" s="1"/>
  <c r="Y33" i="5"/>
  <c r="Z33" i="5"/>
  <c r="C34" i="5"/>
  <c r="D34" i="5"/>
  <c r="E34" i="5"/>
  <c r="F34" i="5"/>
  <c r="G34" i="5"/>
  <c r="H34" i="5" s="1"/>
  <c r="I34" i="5"/>
  <c r="J34" i="5" s="1"/>
  <c r="K34" i="5"/>
  <c r="P34" i="5"/>
  <c r="Q34" i="5"/>
  <c r="Y34" i="5"/>
  <c r="Z34" i="5"/>
  <c r="C35" i="5"/>
  <c r="E35" i="5" s="1"/>
  <c r="D35" i="5"/>
  <c r="F35" i="5"/>
  <c r="G35" i="5"/>
  <c r="V35" i="5" s="1"/>
  <c r="I35" i="5"/>
  <c r="K35" i="5"/>
  <c r="P35" i="5"/>
  <c r="Q35" i="5"/>
  <c r="U35" i="5"/>
  <c r="W35" i="5" s="1"/>
  <c r="Y35" i="5"/>
  <c r="Z35" i="5"/>
  <c r="C36" i="5"/>
  <c r="D36" i="5"/>
  <c r="E36" i="5"/>
  <c r="F36" i="5"/>
  <c r="G36" i="5"/>
  <c r="H36" i="5" s="1"/>
  <c r="I36" i="5"/>
  <c r="J36" i="5" s="1"/>
  <c r="K36" i="5"/>
  <c r="P36" i="5"/>
  <c r="Q36" i="5"/>
  <c r="Y36" i="5"/>
  <c r="Z36" i="5"/>
  <c r="C37" i="5"/>
  <c r="E37" i="5" s="1"/>
  <c r="D37" i="5"/>
  <c r="F37" i="5"/>
  <c r="G37" i="5"/>
  <c r="V37" i="5" s="1"/>
  <c r="I37" i="5"/>
  <c r="K37" i="5"/>
  <c r="P37" i="5"/>
  <c r="Q37" i="5"/>
  <c r="U37" i="5"/>
  <c r="W37" i="5" s="1"/>
  <c r="Y37" i="5"/>
  <c r="Z37" i="5"/>
  <c r="C38" i="5"/>
  <c r="D38" i="5"/>
  <c r="E38" i="5"/>
  <c r="F38" i="5"/>
  <c r="G38" i="5"/>
  <c r="H38" i="5" s="1"/>
  <c r="I38" i="5"/>
  <c r="J38" i="5" s="1"/>
  <c r="K38" i="5"/>
  <c r="P38" i="5"/>
  <c r="Q38" i="5"/>
  <c r="Y38" i="5"/>
  <c r="Z38" i="5"/>
  <c r="C39" i="5"/>
  <c r="E39" i="5" s="1"/>
  <c r="D39" i="5"/>
  <c r="F39" i="5"/>
  <c r="G39" i="5"/>
  <c r="V39" i="5" s="1"/>
  <c r="I39" i="5"/>
  <c r="K39" i="5"/>
  <c r="P39" i="5"/>
  <c r="Q39" i="5"/>
  <c r="U39" i="5"/>
  <c r="W39" i="5" s="1"/>
  <c r="Y39" i="5"/>
  <c r="Z39" i="5"/>
  <c r="C40" i="5"/>
  <c r="D40" i="5"/>
  <c r="E40" i="5"/>
  <c r="F40" i="5"/>
  <c r="G40" i="5"/>
  <c r="H40" i="5" s="1"/>
  <c r="I40" i="5"/>
  <c r="J40" i="5" s="1"/>
  <c r="K40" i="5"/>
  <c r="P40" i="5"/>
  <c r="Q40" i="5"/>
  <c r="Y40" i="5"/>
  <c r="Z40" i="5"/>
  <c r="C41" i="5"/>
  <c r="E41" i="5" s="1"/>
  <c r="D41" i="5"/>
  <c r="F41" i="5"/>
  <c r="G41" i="5"/>
  <c r="V41" i="5" s="1"/>
  <c r="I41" i="5"/>
  <c r="K41" i="5"/>
  <c r="P41" i="5"/>
  <c r="Q41" i="5"/>
  <c r="U41" i="5"/>
  <c r="W41" i="5" s="1"/>
  <c r="Y41" i="5"/>
  <c r="Z41" i="5"/>
  <c r="C42" i="5"/>
  <c r="D42" i="5"/>
  <c r="E42" i="5"/>
  <c r="F42" i="5"/>
  <c r="G42" i="5"/>
  <c r="H42" i="5" s="1"/>
  <c r="I42" i="5"/>
  <c r="J42" i="5" s="1"/>
  <c r="K42" i="5"/>
  <c r="P42" i="5"/>
  <c r="Q42" i="5"/>
  <c r="Y42" i="5"/>
  <c r="Z42" i="5"/>
  <c r="C43" i="5"/>
  <c r="E43" i="5" s="1"/>
  <c r="D43" i="5"/>
  <c r="F43" i="5"/>
  <c r="G43" i="5"/>
  <c r="V43" i="5" s="1"/>
  <c r="I43" i="5"/>
  <c r="K43" i="5"/>
  <c r="P43" i="5"/>
  <c r="Q43" i="5"/>
  <c r="U43" i="5"/>
  <c r="W43" i="5" s="1"/>
  <c r="Y43" i="5"/>
  <c r="Z43" i="5"/>
  <c r="C44" i="5"/>
  <c r="D44" i="5"/>
  <c r="E44" i="5"/>
  <c r="F44" i="5"/>
  <c r="G44" i="5"/>
  <c r="H44" i="5" s="1"/>
  <c r="I44" i="5"/>
  <c r="J44" i="5" s="1"/>
  <c r="K44" i="5"/>
  <c r="P44" i="5"/>
  <c r="Q44" i="5"/>
  <c r="Y44" i="5"/>
  <c r="Z44" i="5"/>
  <c r="C45" i="5"/>
  <c r="E45" i="5" s="1"/>
  <c r="D45" i="5"/>
  <c r="F45" i="5"/>
  <c r="G45" i="5"/>
  <c r="V45" i="5" s="1"/>
  <c r="I45" i="5"/>
  <c r="K45" i="5"/>
  <c r="P45" i="5"/>
  <c r="Q45" i="5"/>
  <c r="U45" i="5"/>
  <c r="W45" i="5" s="1"/>
  <c r="Y45" i="5"/>
  <c r="Z45" i="5"/>
  <c r="C46" i="5"/>
  <c r="D46" i="5"/>
  <c r="E46" i="5"/>
  <c r="F46" i="5"/>
  <c r="G46" i="5"/>
  <c r="H46" i="5" s="1"/>
  <c r="I46" i="5"/>
  <c r="J46" i="5" s="1"/>
  <c r="K46" i="5"/>
  <c r="P46" i="5"/>
  <c r="Q46" i="5"/>
  <c r="Y46" i="5"/>
  <c r="Z46" i="5"/>
  <c r="C47" i="5"/>
  <c r="E47" i="5" s="1"/>
  <c r="D47" i="5"/>
  <c r="F47" i="5"/>
  <c r="G47" i="5"/>
  <c r="V47" i="5" s="1"/>
  <c r="I47" i="5"/>
  <c r="K47" i="5"/>
  <c r="P47" i="5"/>
  <c r="Q47" i="5"/>
  <c r="U47" i="5"/>
  <c r="W47" i="5" s="1"/>
  <c r="Y47" i="5"/>
  <c r="Z47" i="5"/>
  <c r="C48" i="5"/>
  <c r="E48" i="5" s="1"/>
  <c r="D48" i="5"/>
  <c r="F48" i="5"/>
  <c r="G48" i="5"/>
  <c r="H48" i="5" s="1"/>
  <c r="I48" i="5"/>
  <c r="J48" i="5" s="1"/>
  <c r="K48" i="5"/>
  <c r="P48" i="5"/>
  <c r="Q48" i="5"/>
  <c r="Y48" i="5"/>
  <c r="Z48" i="5"/>
  <c r="C49" i="5"/>
  <c r="E49" i="5" s="1"/>
  <c r="D49" i="5"/>
  <c r="F49" i="5"/>
  <c r="G49" i="5"/>
  <c r="V49" i="5" s="1"/>
  <c r="I49" i="5"/>
  <c r="K49" i="5"/>
  <c r="P49" i="5"/>
  <c r="Q49" i="5"/>
  <c r="U49" i="5"/>
  <c r="W49" i="5" s="1"/>
  <c r="Y49" i="5"/>
  <c r="Z49" i="5"/>
  <c r="C50" i="5"/>
  <c r="E50" i="5" s="1"/>
  <c r="D50" i="5"/>
  <c r="F50" i="5"/>
  <c r="G50" i="5"/>
  <c r="H50" i="5" s="1"/>
  <c r="I50" i="5"/>
  <c r="J50" i="5" s="1"/>
  <c r="K50" i="5"/>
  <c r="P50" i="5"/>
  <c r="Q50" i="5"/>
  <c r="Y50" i="5"/>
  <c r="Z50" i="5"/>
  <c r="C51" i="5"/>
  <c r="E51" i="5" s="1"/>
  <c r="D51" i="5"/>
  <c r="F51" i="5"/>
  <c r="G51" i="5"/>
  <c r="V51" i="5" s="1"/>
  <c r="I51" i="5"/>
  <c r="K51" i="5"/>
  <c r="P51" i="5"/>
  <c r="Q51" i="5"/>
  <c r="U51" i="5"/>
  <c r="W51" i="5" s="1"/>
  <c r="Y51" i="5"/>
  <c r="Z51" i="5"/>
  <c r="C52" i="5"/>
  <c r="E52" i="5" s="1"/>
  <c r="D52" i="5"/>
  <c r="F52" i="5"/>
  <c r="G52" i="5"/>
  <c r="H52" i="5" s="1"/>
  <c r="I52" i="5"/>
  <c r="J52" i="5" s="1"/>
  <c r="K52" i="5"/>
  <c r="P52" i="5"/>
  <c r="Q52" i="5"/>
  <c r="Y52" i="5"/>
  <c r="Z52" i="5"/>
  <c r="C53" i="5"/>
  <c r="E53" i="5" s="1"/>
  <c r="D53" i="5"/>
  <c r="F53" i="5"/>
  <c r="G53" i="5"/>
  <c r="V53" i="5" s="1"/>
  <c r="I53" i="5"/>
  <c r="K53" i="5"/>
  <c r="P53" i="5"/>
  <c r="Q53" i="5"/>
  <c r="U53" i="5"/>
  <c r="W53" i="5" s="1"/>
  <c r="Y53" i="5"/>
  <c r="Z53" i="5"/>
  <c r="C54" i="5"/>
  <c r="E54" i="5" s="1"/>
  <c r="D54" i="5"/>
  <c r="F54" i="5"/>
  <c r="G54" i="5"/>
  <c r="H54" i="5" s="1"/>
  <c r="I54" i="5"/>
  <c r="J54" i="5" s="1"/>
  <c r="K54" i="5"/>
  <c r="P54" i="5"/>
  <c r="Q54" i="5"/>
  <c r="Y54" i="5"/>
  <c r="Z54" i="5"/>
  <c r="C55" i="5"/>
  <c r="E55" i="5" s="1"/>
  <c r="D55" i="5"/>
  <c r="F55" i="5"/>
  <c r="G55" i="5"/>
  <c r="V55" i="5" s="1"/>
  <c r="I55" i="5"/>
  <c r="K55" i="5"/>
  <c r="P55" i="5"/>
  <c r="Q55" i="5"/>
  <c r="U55" i="5"/>
  <c r="W55" i="5" s="1"/>
  <c r="Y55" i="5"/>
  <c r="Z55" i="5"/>
  <c r="C56" i="5"/>
  <c r="E56" i="5" s="1"/>
  <c r="D56" i="5"/>
  <c r="F56" i="5"/>
  <c r="G56" i="5"/>
  <c r="H56" i="5" s="1"/>
  <c r="I56" i="5"/>
  <c r="J56" i="5" s="1"/>
  <c r="K56" i="5"/>
  <c r="P56" i="5"/>
  <c r="Q56" i="5"/>
  <c r="Y56" i="5"/>
  <c r="Z56" i="5"/>
  <c r="C57" i="5"/>
  <c r="E57" i="5" s="1"/>
  <c r="D57" i="5"/>
  <c r="F57" i="5"/>
  <c r="G57" i="5"/>
  <c r="V57" i="5" s="1"/>
  <c r="I57" i="5"/>
  <c r="K57" i="5"/>
  <c r="P57" i="5"/>
  <c r="Q57" i="5"/>
  <c r="U57" i="5"/>
  <c r="W57" i="5" s="1"/>
  <c r="Y57" i="5"/>
  <c r="Z57" i="5"/>
  <c r="C58" i="5"/>
  <c r="E58" i="5" s="1"/>
  <c r="D58" i="5"/>
  <c r="F58" i="5"/>
  <c r="G58" i="5"/>
  <c r="I58" i="5"/>
  <c r="K58" i="5"/>
  <c r="P58" i="5"/>
  <c r="Q58" i="5"/>
  <c r="Y58" i="5"/>
  <c r="Z58" i="5"/>
  <c r="C59" i="5"/>
  <c r="D59" i="5"/>
  <c r="F59" i="5"/>
  <c r="G59" i="5"/>
  <c r="V59" i="5" s="1"/>
  <c r="I59" i="5"/>
  <c r="J59" i="5" s="1"/>
  <c r="K59" i="5"/>
  <c r="P59" i="5"/>
  <c r="Q59" i="5"/>
  <c r="U59" i="5"/>
  <c r="W59" i="5" s="1"/>
  <c r="Y59" i="5"/>
  <c r="Z59" i="5"/>
  <c r="C60" i="5"/>
  <c r="D60" i="5"/>
  <c r="F60" i="5"/>
  <c r="G60" i="5"/>
  <c r="I60" i="5"/>
  <c r="J60" i="5"/>
  <c r="K60" i="5"/>
  <c r="P60" i="5"/>
  <c r="Q60" i="5"/>
  <c r="V60" i="5"/>
  <c r="Y60" i="5"/>
  <c r="Z60" i="5"/>
  <c r="C61" i="5"/>
  <c r="D61" i="5"/>
  <c r="F61" i="5"/>
  <c r="H61" i="5" s="1"/>
  <c r="G61" i="5"/>
  <c r="V61" i="5" s="1"/>
  <c r="I61" i="5"/>
  <c r="J61" i="5" s="1"/>
  <c r="K61" i="5"/>
  <c r="P61" i="5"/>
  <c r="Q61" i="5"/>
  <c r="U61" i="5"/>
  <c r="W61" i="5" s="1"/>
  <c r="X61" i="5"/>
  <c r="Y61" i="5"/>
  <c r="Z61" i="5"/>
  <c r="C62" i="5"/>
  <c r="E62" i="5" s="1"/>
  <c r="D62" i="5"/>
  <c r="F62" i="5"/>
  <c r="G62" i="5"/>
  <c r="U62" i="5" s="1"/>
  <c r="H62" i="5"/>
  <c r="I62" i="5"/>
  <c r="J62" i="5" s="1"/>
  <c r="K62" i="5"/>
  <c r="P62" i="5"/>
  <c r="Q62" i="5"/>
  <c r="Y62" i="5"/>
  <c r="Z62" i="5"/>
  <c r="C63" i="5"/>
  <c r="E63" i="5" s="1"/>
  <c r="D63" i="5"/>
  <c r="F63" i="5"/>
  <c r="G63" i="5"/>
  <c r="U63" i="5" s="1"/>
  <c r="I63" i="5"/>
  <c r="J63" i="5" s="1"/>
  <c r="K63" i="5"/>
  <c r="P63" i="5"/>
  <c r="Q63" i="5"/>
  <c r="Y63" i="5"/>
  <c r="Z63" i="5"/>
  <c r="C64" i="5"/>
  <c r="D64" i="5"/>
  <c r="E64" i="5" s="1"/>
  <c r="F64" i="5"/>
  <c r="G64" i="5"/>
  <c r="U64" i="5" s="1"/>
  <c r="H64" i="5"/>
  <c r="I64" i="5"/>
  <c r="J64" i="5" s="1"/>
  <c r="K64" i="5"/>
  <c r="P64" i="5"/>
  <c r="Q64" i="5"/>
  <c r="Y64" i="5"/>
  <c r="Z64" i="5"/>
  <c r="C65" i="5"/>
  <c r="E65" i="5" s="1"/>
  <c r="D65" i="5"/>
  <c r="F65" i="5"/>
  <c r="G65" i="5"/>
  <c r="U65" i="5" s="1"/>
  <c r="H65" i="5"/>
  <c r="I65" i="5"/>
  <c r="K65" i="5"/>
  <c r="P65" i="5"/>
  <c r="Q65" i="5"/>
  <c r="V65" i="5"/>
  <c r="X65" i="5" s="1"/>
  <c r="Y65" i="5"/>
  <c r="Z65" i="5"/>
  <c r="C66" i="5"/>
  <c r="D66" i="5"/>
  <c r="F66" i="5"/>
  <c r="G66" i="5"/>
  <c r="U66" i="5" s="1"/>
  <c r="H66" i="5"/>
  <c r="I66" i="5"/>
  <c r="K66" i="5"/>
  <c r="P66" i="5"/>
  <c r="Q66" i="5"/>
  <c r="Y66" i="5"/>
  <c r="Z66" i="5"/>
  <c r="C67" i="5"/>
  <c r="D67" i="5"/>
  <c r="F67" i="5"/>
  <c r="G67" i="5"/>
  <c r="U67" i="5" s="1"/>
  <c r="I67" i="5"/>
  <c r="J67" i="5"/>
  <c r="K67" i="5"/>
  <c r="P67" i="5"/>
  <c r="Q67" i="5"/>
  <c r="Y67" i="5"/>
  <c r="Z67" i="5"/>
  <c r="C68" i="5"/>
  <c r="D68" i="5"/>
  <c r="F68" i="5"/>
  <c r="G68" i="5"/>
  <c r="U68" i="5" s="1"/>
  <c r="I68" i="5"/>
  <c r="K68" i="5"/>
  <c r="P68" i="5"/>
  <c r="Q68" i="5"/>
  <c r="Y68" i="5"/>
  <c r="Z68" i="5"/>
  <c r="C69" i="5"/>
  <c r="D69" i="5"/>
  <c r="F69" i="5"/>
  <c r="H69" i="5" s="1"/>
  <c r="G69" i="5"/>
  <c r="U69" i="5" s="1"/>
  <c r="I69" i="5"/>
  <c r="J69" i="5"/>
  <c r="K69" i="5"/>
  <c r="P69" i="5"/>
  <c r="Q69" i="5"/>
  <c r="Y69" i="5"/>
  <c r="Z69" i="5"/>
  <c r="C70" i="5"/>
  <c r="D70" i="5"/>
  <c r="F70" i="5"/>
  <c r="G70" i="5"/>
  <c r="U70" i="5" s="1"/>
  <c r="H70" i="5"/>
  <c r="I70" i="5"/>
  <c r="J70" i="5" s="1"/>
  <c r="K70" i="5"/>
  <c r="P70" i="5"/>
  <c r="Q70" i="5"/>
  <c r="Y70" i="5"/>
  <c r="Z70" i="5"/>
  <c r="C71" i="5"/>
  <c r="E71" i="5" s="1"/>
  <c r="D71" i="5"/>
  <c r="F71" i="5"/>
  <c r="G71" i="5"/>
  <c r="V71" i="5" s="1"/>
  <c r="I71" i="5"/>
  <c r="J71" i="5" s="1"/>
  <c r="K71" i="5"/>
  <c r="P71" i="5"/>
  <c r="Q71" i="5"/>
  <c r="Y71" i="5"/>
  <c r="Z71" i="5"/>
  <c r="C72" i="5"/>
  <c r="E72" i="5" s="1"/>
  <c r="D72" i="5"/>
  <c r="F72" i="5"/>
  <c r="G72" i="5"/>
  <c r="H72" i="5" s="1"/>
  <c r="I72" i="5"/>
  <c r="K72" i="5"/>
  <c r="P72" i="5"/>
  <c r="Q72" i="5"/>
  <c r="Y72" i="5"/>
  <c r="Z72" i="5"/>
  <c r="C73" i="5"/>
  <c r="E73" i="5" s="1"/>
  <c r="D73" i="5"/>
  <c r="F73" i="5"/>
  <c r="G73" i="5"/>
  <c r="V73" i="5" s="1"/>
  <c r="I73" i="5"/>
  <c r="J73" i="5" s="1"/>
  <c r="K73" i="5"/>
  <c r="P73" i="5"/>
  <c r="Q73" i="5"/>
  <c r="U73" i="5"/>
  <c r="W73" i="5" s="1"/>
  <c r="Y73" i="5"/>
  <c r="Z73" i="5"/>
  <c r="C74" i="5"/>
  <c r="D74" i="5"/>
  <c r="F74" i="5"/>
  <c r="G74" i="5"/>
  <c r="H74" i="5" s="1"/>
  <c r="I74" i="5"/>
  <c r="J74" i="5" s="1"/>
  <c r="K74" i="5"/>
  <c r="P74" i="5"/>
  <c r="Q74" i="5"/>
  <c r="Y74" i="5"/>
  <c r="Z74" i="5"/>
  <c r="C75" i="5"/>
  <c r="D75" i="5"/>
  <c r="F75" i="5"/>
  <c r="G75" i="5"/>
  <c r="V75" i="5" s="1"/>
  <c r="I75" i="5"/>
  <c r="K75" i="5"/>
  <c r="P75" i="5"/>
  <c r="Q75" i="5"/>
  <c r="Y75" i="5"/>
  <c r="Z75" i="5"/>
  <c r="C76" i="5"/>
  <c r="E76" i="5" s="1"/>
  <c r="D76" i="5"/>
  <c r="F76" i="5"/>
  <c r="G76" i="5"/>
  <c r="H76" i="5" s="1"/>
  <c r="I76" i="5"/>
  <c r="J76" i="5" s="1"/>
  <c r="K76" i="5"/>
  <c r="P76" i="5"/>
  <c r="Q76" i="5"/>
  <c r="Y76" i="5"/>
  <c r="Z76" i="5"/>
  <c r="C77" i="5"/>
  <c r="D77" i="5"/>
  <c r="F77" i="5"/>
  <c r="G77" i="5"/>
  <c r="V77" i="5" s="1"/>
  <c r="I77" i="5"/>
  <c r="K77" i="5"/>
  <c r="P77" i="5"/>
  <c r="Q77" i="5"/>
  <c r="Y77" i="5"/>
  <c r="Z77" i="5"/>
  <c r="C78" i="5"/>
  <c r="D78" i="5"/>
  <c r="F78" i="5"/>
  <c r="G78" i="5"/>
  <c r="H78" i="5" s="1"/>
  <c r="I78" i="5"/>
  <c r="J78" i="5" s="1"/>
  <c r="K78" i="5"/>
  <c r="P78" i="5"/>
  <c r="Q78" i="5"/>
  <c r="Y78" i="5"/>
  <c r="Z78" i="5"/>
  <c r="C79" i="5"/>
  <c r="D79" i="5"/>
  <c r="F79" i="5"/>
  <c r="G79" i="5"/>
  <c r="V79" i="5" s="1"/>
  <c r="I79" i="5"/>
  <c r="K79" i="5"/>
  <c r="P79" i="5"/>
  <c r="Q79" i="5"/>
  <c r="Y79" i="5"/>
  <c r="Z79" i="5"/>
  <c r="C80" i="5"/>
  <c r="E80" i="5" s="1"/>
  <c r="D80" i="5"/>
  <c r="F80" i="5"/>
  <c r="G80" i="5"/>
  <c r="H80" i="5" s="1"/>
  <c r="I80" i="5"/>
  <c r="J80" i="5" s="1"/>
  <c r="K80" i="5"/>
  <c r="P80" i="5"/>
  <c r="Q80" i="5"/>
  <c r="Y80" i="5"/>
  <c r="Z80" i="5"/>
  <c r="C81" i="5"/>
  <c r="D81" i="5"/>
  <c r="F81" i="5"/>
  <c r="G81" i="5"/>
  <c r="V81" i="5" s="1"/>
  <c r="I81" i="5"/>
  <c r="K81" i="5"/>
  <c r="P81" i="5"/>
  <c r="Q81" i="5"/>
  <c r="Y81" i="5"/>
  <c r="Z81" i="5"/>
  <c r="C82" i="5"/>
  <c r="D82" i="5"/>
  <c r="F82" i="5"/>
  <c r="G82" i="5"/>
  <c r="H82" i="5" s="1"/>
  <c r="I82" i="5"/>
  <c r="J82" i="5" s="1"/>
  <c r="K82" i="5"/>
  <c r="P82" i="5"/>
  <c r="Q82" i="5"/>
  <c r="Y82" i="5"/>
  <c r="Z82" i="5"/>
  <c r="C83" i="5"/>
  <c r="D83" i="5"/>
  <c r="F83" i="5"/>
  <c r="G83" i="5"/>
  <c r="V83" i="5" s="1"/>
  <c r="I83" i="5"/>
  <c r="K83" i="5"/>
  <c r="P83" i="5"/>
  <c r="Q83" i="5"/>
  <c r="Y83" i="5"/>
  <c r="Z83" i="5"/>
  <c r="C84" i="5"/>
  <c r="E84" i="5" s="1"/>
  <c r="D84" i="5"/>
  <c r="F84" i="5"/>
  <c r="G84" i="5"/>
  <c r="H84" i="5" s="1"/>
  <c r="I84" i="5"/>
  <c r="J84" i="5" s="1"/>
  <c r="K84" i="5"/>
  <c r="P84" i="5"/>
  <c r="Q84" i="5"/>
  <c r="Y84" i="5"/>
  <c r="Z84" i="5"/>
  <c r="C85" i="5"/>
  <c r="D85" i="5"/>
  <c r="F85" i="5"/>
  <c r="G85" i="5"/>
  <c r="V85" i="5" s="1"/>
  <c r="I85" i="5"/>
  <c r="K85" i="5"/>
  <c r="P85" i="5"/>
  <c r="Q85" i="5"/>
  <c r="Y85" i="5"/>
  <c r="Z85" i="5"/>
  <c r="C86" i="5"/>
  <c r="D86" i="5"/>
  <c r="F86" i="5"/>
  <c r="G86" i="5"/>
  <c r="H86" i="5" s="1"/>
  <c r="I86" i="5"/>
  <c r="J86" i="5" s="1"/>
  <c r="K86" i="5"/>
  <c r="P86" i="5"/>
  <c r="Q86" i="5"/>
  <c r="Y86" i="5"/>
  <c r="Z86" i="5"/>
  <c r="C87" i="5"/>
  <c r="D87" i="5"/>
  <c r="F87" i="5"/>
  <c r="G87" i="5"/>
  <c r="V87" i="5" s="1"/>
  <c r="I87" i="5"/>
  <c r="K87" i="5"/>
  <c r="P87" i="5"/>
  <c r="Q87" i="5"/>
  <c r="Y87" i="5"/>
  <c r="Z87" i="5"/>
  <c r="C88" i="5"/>
  <c r="D88" i="5"/>
  <c r="F88" i="5"/>
  <c r="G88" i="5"/>
  <c r="H88" i="5" s="1"/>
  <c r="I88" i="5"/>
  <c r="J88" i="5" s="1"/>
  <c r="K88" i="5"/>
  <c r="P88" i="5"/>
  <c r="Q88" i="5"/>
  <c r="Y88" i="5"/>
  <c r="Z88" i="5"/>
  <c r="C89" i="5"/>
  <c r="D89" i="5"/>
  <c r="F89" i="5"/>
  <c r="G89" i="5"/>
  <c r="V89" i="5" s="1"/>
  <c r="I89" i="5"/>
  <c r="K89" i="5"/>
  <c r="P89" i="5"/>
  <c r="Q89" i="5"/>
  <c r="Y89" i="5"/>
  <c r="Z89" i="5"/>
  <c r="C90" i="5"/>
  <c r="D90" i="5"/>
  <c r="F90" i="5"/>
  <c r="G90" i="5"/>
  <c r="H90" i="5" s="1"/>
  <c r="I90" i="5"/>
  <c r="J90" i="5" s="1"/>
  <c r="K90" i="5"/>
  <c r="P90" i="5"/>
  <c r="Q90" i="5"/>
  <c r="Y90" i="5"/>
  <c r="Z90" i="5"/>
  <c r="C91" i="5"/>
  <c r="D91" i="5"/>
  <c r="F91" i="5"/>
  <c r="G91" i="5"/>
  <c r="V91" i="5" s="1"/>
  <c r="I91" i="5"/>
  <c r="K91" i="5"/>
  <c r="P91" i="5"/>
  <c r="Q91" i="5"/>
  <c r="Y91" i="5"/>
  <c r="Z91" i="5"/>
  <c r="C92" i="5"/>
  <c r="D92" i="5"/>
  <c r="F92" i="5"/>
  <c r="G92" i="5"/>
  <c r="H92" i="5" s="1"/>
  <c r="I92" i="5"/>
  <c r="J92" i="5" s="1"/>
  <c r="K92" i="5"/>
  <c r="P92" i="5"/>
  <c r="Q92" i="5"/>
  <c r="Y92" i="5"/>
  <c r="Z92" i="5"/>
  <c r="C93" i="5"/>
  <c r="D93" i="5"/>
  <c r="F93" i="5"/>
  <c r="G93" i="5"/>
  <c r="V93" i="5" s="1"/>
  <c r="I93" i="5"/>
  <c r="K93" i="5"/>
  <c r="P93" i="5"/>
  <c r="Q93" i="5"/>
  <c r="Y93" i="5"/>
  <c r="Z93" i="5"/>
  <c r="C94" i="5"/>
  <c r="D94" i="5"/>
  <c r="F94" i="5"/>
  <c r="G94" i="5"/>
  <c r="H94" i="5" s="1"/>
  <c r="I94" i="5"/>
  <c r="J94" i="5" s="1"/>
  <c r="K94" i="5"/>
  <c r="P94" i="5"/>
  <c r="Q94" i="5"/>
  <c r="Y94" i="5"/>
  <c r="Z94" i="5"/>
  <c r="C95" i="5"/>
  <c r="D95" i="5"/>
  <c r="F95" i="5"/>
  <c r="G95" i="5"/>
  <c r="V95" i="5" s="1"/>
  <c r="I95" i="5"/>
  <c r="K95" i="5"/>
  <c r="P95" i="5"/>
  <c r="Q95" i="5"/>
  <c r="Y95" i="5"/>
  <c r="Z95" i="5"/>
  <c r="Q2" i="5"/>
  <c r="P2" i="5"/>
  <c r="K2" i="5"/>
  <c r="I2" i="5"/>
  <c r="G2" i="5"/>
  <c r="F2" i="5"/>
  <c r="D2" i="5"/>
  <c r="C2" i="5"/>
  <c r="X95" i="5" l="1"/>
  <c r="X93" i="5"/>
  <c r="X91" i="5"/>
  <c r="X89" i="5"/>
  <c r="X87" i="5"/>
  <c r="X85" i="5"/>
  <c r="X83" i="5"/>
  <c r="X81" i="5"/>
  <c r="X79" i="5"/>
  <c r="X77" i="5"/>
  <c r="X75" i="5"/>
  <c r="W70" i="5"/>
  <c r="W68" i="5"/>
  <c r="W67" i="5"/>
  <c r="W66" i="5"/>
  <c r="W65" i="5"/>
  <c r="W64" i="5"/>
  <c r="W63" i="5"/>
  <c r="W62" i="5"/>
  <c r="X57" i="5"/>
  <c r="X55" i="5"/>
  <c r="X53" i="5"/>
  <c r="X51" i="5"/>
  <c r="X49" i="5"/>
  <c r="X47" i="5"/>
  <c r="X45" i="5"/>
  <c r="X43" i="5"/>
  <c r="X41" i="5"/>
  <c r="X39" i="5"/>
  <c r="X37" i="5"/>
  <c r="X35" i="5"/>
  <c r="X33" i="5"/>
  <c r="X31" i="5"/>
  <c r="X29" i="5"/>
  <c r="X27" i="5"/>
  <c r="X25" i="5"/>
  <c r="X23" i="5"/>
  <c r="X21" i="5"/>
  <c r="X19" i="5"/>
  <c r="X17" i="5"/>
  <c r="W15" i="5"/>
  <c r="X13" i="5"/>
  <c r="W12" i="5"/>
  <c r="W10" i="5"/>
  <c r="W8" i="5"/>
  <c r="P102" i="5"/>
  <c r="P103" i="5"/>
  <c r="P101" i="5"/>
  <c r="Q102" i="5"/>
  <c r="Q103" i="5"/>
  <c r="Q101" i="5"/>
  <c r="J68" i="5"/>
  <c r="V67" i="5"/>
  <c r="X67" i="5" s="1"/>
  <c r="J66" i="5"/>
  <c r="J65" i="5"/>
  <c r="V63" i="5"/>
  <c r="X63" i="5" s="1"/>
  <c r="H63" i="5"/>
  <c r="E60" i="5"/>
  <c r="H57" i="5"/>
  <c r="H55" i="5"/>
  <c r="H53" i="5"/>
  <c r="H51" i="5"/>
  <c r="H49" i="5"/>
  <c r="H47" i="5"/>
  <c r="H45" i="5"/>
  <c r="H43" i="5"/>
  <c r="H41" i="5"/>
  <c r="H39" i="5"/>
  <c r="H37" i="5"/>
  <c r="H35" i="5"/>
  <c r="H33" i="5"/>
  <c r="H31" i="5"/>
  <c r="H29" i="5"/>
  <c r="H27" i="5"/>
  <c r="H25" i="5"/>
  <c r="H23" i="5"/>
  <c r="X11" i="5"/>
  <c r="U9" i="5"/>
  <c r="W9" i="5" s="1"/>
  <c r="X7" i="5"/>
  <c r="E70" i="5"/>
  <c r="E95" i="5"/>
  <c r="J93" i="5"/>
  <c r="E91" i="5"/>
  <c r="J89" i="5"/>
  <c r="E87" i="5"/>
  <c r="J85" i="5"/>
  <c r="E83" i="5"/>
  <c r="J81" i="5"/>
  <c r="E79" i="5"/>
  <c r="J77" i="5"/>
  <c r="E75" i="5"/>
  <c r="E69" i="5"/>
  <c r="E67" i="5"/>
  <c r="H59" i="5"/>
  <c r="E17" i="5"/>
  <c r="W13" i="5"/>
  <c r="E94" i="5"/>
  <c r="E59" i="5"/>
  <c r="J58" i="5"/>
  <c r="E5" i="5"/>
  <c r="X3" i="5"/>
  <c r="E78" i="5"/>
  <c r="X71" i="5"/>
  <c r="X73" i="5"/>
  <c r="E61" i="5"/>
  <c r="H15" i="5"/>
  <c r="X9" i="5"/>
  <c r="X8" i="5"/>
  <c r="H3" i="5"/>
  <c r="E74" i="5"/>
  <c r="J95" i="5"/>
  <c r="E93" i="5"/>
  <c r="J91" i="5"/>
  <c r="E89" i="5"/>
  <c r="J87" i="5"/>
  <c r="E85" i="5"/>
  <c r="J83" i="5"/>
  <c r="E81" i="5"/>
  <c r="J79" i="5"/>
  <c r="E77" i="5"/>
  <c r="J75" i="5"/>
  <c r="J72" i="5"/>
  <c r="E68" i="5"/>
  <c r="E66" i="5"/>
  <c r="V56" i="5"/>
  <c r="X56" i="5" s="1"/>
  <c r="V54" i="5"/>
  <c r="X54" i="5" s="1"/>
  <c r="V52" i="5"/>
  <c r="X52" i="5" s="1"/>
  <c r="V50" i="5"/>
  <c r="X50" i="5" s="1"/>
  <c r="V48" i="5"/>
  <c r="X48" i="5" s="1"/>
  <c r="V46" i="5"/>
  <c r="X46" i="5" s="1"/>
  <c r="V44" i="5"/>
  <c r="X44" i="5" s="1"/>
  <c r="V42" i="5"/>
  <c r="X42" i="5" s="1"/>
  <c r="V40" i="5"/>
  <c r="X40" i="5" s="1"/>
  <c r="V38" i="5"/>
  <c r="X38" i="5" s="1"/>
  <c r="V36" i="5"/>
  <c r="X36" i="5" s="1"/>
  <c r="V34" i="5"/>
  <c r="X34" i="5" s="1"/>
  <c r="V32" i="5"/>
  <c r="X32" i="5" s="1"/>
  <c r="V30" i="5"/>
  <c r="X30" i="5" s="1"/>
  <c r="V28" i="5"/>
  <c r="X28" i="5" s="1"/>
  <c r="V26" i="5"/>
  <c r="X26" i="5" s="1"/>
  <c r="V24" i="5"/>
  <c r="X24" i="5" s="1"/>
  <c r="V22" i="5"/>
  <c r="X22" i="5" s="1"/>
  <c r="V20" i="5"/>
  <c r="X20" i="5" s="1"/>
  <c r="V18" i="5"/>
  <c r="X18" i="5" s="1"/>
  <c r="V15" i="5"/>
  <c r="X15" i="5" s="1"/>
  <c r="X12" i="5"/>
  <c r="J4" i="5"/>
  <c r="E90" i="5"/>
  <c r="U71" i="5"/>
  <c r="W71" i="5" s="1"/>
  <c r="W69" i="5"/>
  <c r="V58" i="5"/>
  <c r="X58" i="5" s="1"/>
  <c r="J57" i="5"/>
  <c r="J55" i="5"/>
  <c r="J53" i="5"/>
  <c r="J51" i="5"/>
  <c r="J49" i="5"/>
  <c r="J47" i="5"/>
  <c r="J45" i="5"/>
  <c r="J43" i="5"/>
  <c r="J41" i="5"/>
  <c r="J39" i="5"/>
  <c r="J37" i="5"/>
  <c r="J35" i="5"/>
  <c r="J33" i="5"/>
  <c r="J31" i="5"/>
  <c r="J29" i="5"/>
  <c r="J27" i="5"/>
  <c r="J25" i="5"/>
  <c r="J23" i="5"/>
  <c r="J21" i="5"/>
  <c r="J19" i="5"/>
  <c r="J17" i="5"/>
  <c r="X16" i="5"/>
  <c r="H9" i="5"/>
  <c r="J5" i="5"/>
  <c r="U3" i="5"/>
  <c r="W3" i="5" s="1"/>
  <c r="E86" i="5"/>
  <c r="E82" i="5"/>
  <c r="H68" i="5"/>
  <c r="E92" i="5"/>
  <c r="E88" i="5"/>
  <c r="V69" i="5"/>
  <c r="X69" i="5" s="1"/>
  <c r="H67" i="5"/>
  <c r="X60" i="5"/>
  <c r="U95" i="5"/>
  <c r="W95" i="5" s="1"/>
  <c r="U93" i="5"/>
  <c r="W93" i="5" s="1"/>
  <c r="U91" i="5"/>
  <c r="W91" i="5" s="1"/>
  <c r="U89" i="5"/>
  <c r="W89" i="5" s="1"/>
  <c r="U87" i="5"/>
  <c r="W87" i="5" s="1"/>
  <c r="U85" i="5"/>
  <c r="W85" i="5" s="1"/>
  <c r="U83" i="5"/>
  <c r="W83" i="5" s="1"/>
  <c r="U81" i="5"/>
  <c r="W81" i="5" s="1"/>
  <c r="U79" i="5"/>
  <c r="W79" i="5" s="1"/>
  <c r="U77" i="5"/>
  <c r="W77" i="5" s="1"/>
  <c r="U75" i="5"/>
  <c r="W75" i="5" s="1"/>
  <c r="H95" i="5"/>
  <c r="H93" i="5"/>
  <c r="H91" i="5"/>
  <c r="H89" i="5"/>
  <c r="H87" i="5"/>
  <c r="H85" i="5"/>
  <c r="H83" i="5"/>
  <c r="H81" i="5"/>
  <c r="H79" i="5"/>
  <c r="H77" i="5"/>
  <c r="H75" i="5"/>
  <c r="H73" i="5"/>
  <c r="H71" i="5"/>
  <c r="V68" i="5"/>
  <c r="X68" i="5" s="1"/>
  <c r="V94" i="5"/>
  <c r="X94" i="5" s="1"/>
  <c r="V92" i="5"/>
  <c r="X92" i="5" s="1"/>
  <c r="V90" i="5"/>
  <c r="X90" i="5" s="1"/>
  <c r="V88" i="5"/>
  <c r="X88" i="5" s="1"/>
  <c r="V86" i="5"/>
  <c r="X86" i="5" s="1"/>
  <c r="V84" i="5"/>
  <c r="X84" i="5" s="1"/>
  <c r="V82" i="5"/>
  <c r="X82" i="5" s="1"/>
  <c r="V80" i="5"/>
  <c r="X80" i="5" s="1"/>
  <c r="V78" i="5"/>
  <c r="X78" i="5" s="1"/>
  <c r="V76" i="5"/>
  <c r="X76" i="5" s="1"/>
  <c r="V74" i="5"/>
  <c r="X74" i="5" s="1"/>
  <c r="V72" i="5"/>
  <c r="X72" i="5" s="1"/>
  <c r="V70" i="5"/>
  <c r="X70" i="5" s="1"/>
  <c r="V62" i="5"/>
  <c r="X62" i="5" s="1"/>
  <c r="U94" i="5"/>
  <c r="W94" i="5" s="1"/>
  <c r="U92" i="5"/>
  <c r="W92" i="5" s="1"/>
  <c r="U90" i="5"/>
  <c r="W90" i="5" s="1"/>
  <c r="U88" i="5"/>
  <c r="W88" i="5" s="1"/>
  <c r="U86" i="5"/>
  <c r="W86" i="5" s="1"/>
  <c r="U84" i="5"/>
  <c r="W84" i="5" s="1"/>
  <c r="U82" i="5"/>
  <c r="W82" i="5" s="1"/>
  <c r="U80" i="5"/>
  <c r="W80" i="5" s="1"/>
  <c r="U78" i="5"/>
  <c r="W78" i="5" s="1"/>
  <c r="U76" i="5"/>
  <c r="W76" i="5" s="1"/>
  <c r="U74" i="5"/>
  <c r="W74" i="5" s="1"/>
  <c r="U72" i="5"/>
  <c r="W72" i="5" s="1"/>
  <c r="H58" i="5"/>
  <c r="U58" i="5"/>
  <c r="W58" i="5" s="1"/>
  <c r="V64" i="5"/>
  <c r="X64" i="5" s="1"/>
  <c r="X59" i="5"/>
  <c r="H60" i="5"/>
  <c r="U60" i="5"/>
  <c r="W60" i="5" s="1"/>
  <c r="V66" i="5"/>
  <c r="X66" i="5" s="1"/>
  <c r="J15" i="5"/>
  <c r="J13" i="5"/>
  <c r="J11" i="5"/>
  <c r="J9" i="5"/>
  <c r="J7" i="5"/>
  <c r="U56" i="5"/>
  <c r="W56" i="5" s="1"/>
  <c r="U54" i="5"/>
  <c r="W54" i="5" s="1"/>
  <c r="U52" i="5"/>
  <c r="W52" i="5" s="1"/>
  <c r="U50" i="5"/>
  <c r="W50" i="5" s="1"/>
  <c r="U48" i="5"/>
  <c r="W48" i="5" s="1"/>
  <c r="U46" i="5"/>
  <c r="W46" i="5" s="1"/>
  <c r="U44" i="5"/>
  <c r="W44" i="5" s="1"/>
  <c r="U42" i="5"/>
  <c r="W42" i="5" s="1"/>
  <c r="U40" i="5"/>
  <c r="W40" i="5" s="1"/>
  <c r="U38" i="5"/>
  <c r="W38" i="5" s="1"/>
  <c r="U36" i="5"/>
  <c r="W36" i="5" s="1"/>
  <c r="U34" i="5"/>
  <c r="W34" i="5" s="1"/>
  <c r="U32" i="5"/>
  <c r="W32" i="5" s="1"/>
  <c r="U30" i="5"/>
  <c r="W30" i="5" s="1"/>
  <c r="U28" i="5"/>
  <c r="W28" i="5" s="1"/>
  <c r="U26" i="5"/>
  <c r="W26" i="5" s="1"/>
  <c r="U24" i="5"/>
  <c r="W24" i="5" s="1"/>
  <c r="U22" i="5"/>
  <c r="W22" i="5" s="1"/>
  <c r="U20" i="5"/>
  <c r="W20" i="5" s="1"/>
  <c r="U18" i="5"/>
  <c r="W18" i="5" s="1"/>
  <c r="I2" i="4" l="1"/>
  <c r="I100" i="4" l="1"/>
  <c r="I103" i="4"/>
  <c r="C3" i="3"/>
  <c r="E3" i="3" s="1"/>
  <c r="D3" i="3"/>
  <c r="F3" i="3"/>
  <c r="N3" i="3"/>
  <c r="O3" i="3"/>
  <c r="Q3" i="3"/>
  <c r="R3" i="3"/>
  <c r="AB3" i="3"/>
  <c r="AC3" i="3"/>
  <c r="AD3" i="3"/>
  <c r="AE3" i="3"/>
  <c r="AI3" i="3"/>
  <c r="AJ3" i="3"/>
  <c r="AX3" i="3"/>
  <c r="AY3" i="3"/>
  <c r="AZ3" i="3"/>
  <c r="BA3" i="3"/>
  <c r="C4" i="3"/>
  <c r="D4" i="3"/>
  <c r="F4" i="3"/>
  <c r="N4" i="3"/>
  <c r="O4" i="3"/>
  <c r="Q4" i="3"/>
  <c r="R4" i="3"/>
  <c r="AB4" i="3"/>
  <c r="AC4" i="3"/>
  <c r="AD4" i="3"/>
  <c r="AE4" i="3"/>
  <c r="AI4" i="3"/>
  <c r="AJ4" i="3"/>
  <c r="AX4" i="3"/>
  <c r="AY4" i="3"/>
  <c r="AZ4" i="3"/>
  <c r="BA4" i="3"/>
  <c r="C5" i="3"/>
  <c r="D5" i="3"/>
  <c r="F5" i="3"/>
  <c r="N5" i="3"/>
  <c r="O5" i="3"/>
  <c r="Q5" i="3"/>
  <c r="R5" i="3"/>
  <c r="AB5" i="3"/>
  <c r="AC5" i="3"/>
  <c r="AD5" i="3"/>
  <c r="AE5" i="3"/>
  <c r="AI5" i="3"/>
  <c r="AJ5" i="3"/>
  <c r="AX5" i="3"/>
  <c r="AY5" i="3"/>
  <c r="AZ5" i="3"/>
  <c r="BA5" i="3"/>
  <c r="C6" i="3"/>
  <c r="E6" i="3" s="1"/>
  <c r="D6" i="3"/>
  <c r="F6" i="3"/>
  <c r="N6" i="3"/>
  <c r="O6" i="3"/>
  <c r="Q6" i="3"/>
  <c r="R6" i="3"/>
  <c r="AB6" i="3"/>
  <c r="AC6" i="3"/>
  <c r="AD6" i="3"/>
  <c r="AE6" i="3"/>
  <c r="AI6" i="3"/>
  <c r="AJ6" i="3"/>
  <c r="AX6" i="3"/>
  <c r="AY6" i="3"/>
  <c r="AZ6" i="3"/>
  <c r="BA6" i="3"/>
  <c r="C7" i="3"/>
  <c r="D7" i="3"/>
  <c r="F7" i="3"/>
  <c r="N7" i="3"/>
  <c r="O7" i="3"/>
  <c r="P7" i="3"/>
  <c r="Q7" i="3"/>
  <c r="R7" i="3"/>
  <c r="AB7" i="3"/>
  <c r="AC7" i="3"/>
  <c r="AD7" i="3"/>
  <c r="AE7" i="3"/>
  <c r="AI7" i="3"/>
  <c r="AJ7" i="3"/>
  <c r="AX7" i="3"/>
  <c r="AY7" i="3"/>
  <c r="AZ7" i="3"/>
  <c r="BA7" i="3"/>
  <c r="C8" i="3"/>
  <c r="E8" i="3" s="1"/>
  <c r="D8" i="3"/>
  <c r="F8" i="3"/>
  <c r="N8" i="3"/>
  <c r="O8" i="3"/>
  <c r="Q8" i="3"/>
  <c r="R8" i="3"/>
  <c r="AB8" i="3"/>
  <c r="AC8" i="3"/>
  <c r="AD8" i="3"/>
  <c r="AE8" i="3"/>
  <c r="AI8" i="3"/>
  <c r="AJ8" i="3"/>
  <c r="AX8" i="3"/>
  <c r="AY8" i="3"/>
  <c r="AZ8" i="3"/>
  <c r="BA8" i="3"/>
  <c r="C9" i="3"/>
  <c r="D9" i="3"/>
  <c r="F9" i="3"/>
  <c r="N9" i="3"/>
  <c r="O9" i="3"/>
  <c r="Q9" i="3"/>
  <c r="R9" i="3"/>
  <c r="AB9" i="3"/>
  <c r="AC9" i="3"/>
  <c r="AD9" i="3"/>
  <c r="AE9" i="3"/>
  <c r="AI9" i="3"/>
  <c r="AJ9" i="3"/>
  <c r="AX9" i="3"/>
  <c r="AY9" i="3"/>
  <c r="AZ9" i="3"/>
  <c r="BA9" i="3"/>
  <c r="C10" i="3"/>
  <c r="D10" i="3"/>
  <c r="F10" i="3"/>
  <c r="N10" i="3"/>
  <c r="O10" i="3"/>
  <c r="Q10" i="3"/>
  <c r="R10" i="3"/>
  <c r="AB10" i="3"/>
  <c r="AC10" i="3"/>
  <c r="AD10" i="3"/>
  <c r="AE10" i="3"/>
  <c r="AI10" i="3"/>
  <c r="AJ10" i="3"/>
  <c r="AX10" i="3"/>
  <c r="AY10" i="3"/>
  <c r="AZ10" i="3"/>
  <c r="BA10" i="3"/>
  <c r="C11" i="3"/>
  <c r="E11" i="3" s="1"/>
  <c r="D11" i="3"/>
  <c r="F11" i="3"/>
  <c r="N11" i="3"/>
  <c r="O11" i="3"/>
  <c r="Q11" i="3"/>
  <c r="R11" i="3"/>
  <c r="AB11" i="3"/>
  <c r="AC11" i="3"/>
  <c r="AD11" i="3"/>
  <c r="AE11" i="3"/>
  <c r="AI11" i="3"/>
  <c r="AJ11" i="3"/>
  <c r="AX11" i="3"/>
  <c r="AY11" i="3"/>
  <c r="AZ11" i="3"/>
  <c r="BA11" i="3"/>
  <c r="C12" i="3"/>
  <c r="D12" i="3"/>
  <c r="F12" i="3"/>
  <c r="N12" i="3"/>
  <c r="O12" i="3"/>
  <c r="Q12" i="3"/>
  <c r="R12" i="3"/>
  <c r="AB12" i="3"/>
  <c r="AC12" i="3"/>
  <c r="AD12" i="3"/>
  <c r="AE12" i="3"/>
  <c r="AI12" i="3"/>
  <c r="AJ12" i="3"/>
  <c r="AX12" i="3"/>
  <c r="AY12" i="3"/>
  <c r="AZ12" i="3"/>
  <c r="BA12" i="3"/>
  <c r="C13" i="3"/>
  <c r="D13" i="3"/>
  <c r="F13" i="3"/>
  <c r="N13" i="3"/>
  <c r="O13" i="3"/>
  <c r="Q13" i="3"/>
  <c r="R13" i="3"/>
  <c r="AB13" i="3"/>
  <c r="AC13" i="3"/>
  <c r="AD13" i="3"/>
  <c r="AE13" i="3"/>
  <c r="AI13" i="3"/>
  <c r="AJ13" i="3"/>
  <c r="AX13" i="3"/>
  <c r="AY13" i="3"/>
  <c r="AZ13" i="3"/>
  <c r="BA13" i="3"/>
  <c r="C14" i="3"/>
  <c r="D14" i="3"/>
  <c r="F14" i="3"/>
  <c r="N14" i="3"/>
  <c r="O14" i="3"/>
  <c r="P14" i="3" s="1"/>
  <c r="Q14" i="3"/>
  <c r="R14" i="3"/>
  <c r="AB14" i="3"/>
  <c r="AC14" i="3"/>
  <c r="AD14" i="3"/>
  <c r="AE14" i="3"/>
  <c r="AI14" i="3"/>
  <c r="AJ14" i="3"/>
  <c r="AX14" i="3"/>
  <c r="AY14" i="3"/>
  <c r="AZ14" i="3"/>
  <c r="BA14" i="3"/>
  <c r="C15" i="3"/>
  <c r="E15" i="3" s="1"/>
  <c r="D15" i="3"/>
  <c r="F15" i="3"/>
  <c r="N15" i="3"/>
  <c r="O15" i="3"/>
  <c r="Q15" i="3"/>
  <c r="R15" i="3"/>
  <c r="AB15" i="3"/>
  <c r="AC15" i="3"/>
  <c r="AD15" i="3"/>
  <c r="AE15" i="3"/>
  <c r="AI15" i="3"/>
  <c r="AJ15" i="3"/>
  <c r="AX15" i="3"/>
  <c r="AY15" i="3"/>
  <c r="AZ15" i="3"/>
  <c r="BA15" i="3"/>
  <c r="C16" i="3"/>
  <c r="D16" i="3"/>
  <c r="E16" i="3" s="1"/>
  <c r="F16" i="3"/>
  <c r="N16" i="3"/>
  <c r="O16" i="3"/>
  <c r="Q16" i="3"/>
  <c r="R16" i="3"/>
  <c r="AB16" i="3"/>
  <c r="AC16" i="3"/>
  <c r="AD16" i="3"/>
  <c r="AE16" i="3"/>
  <c r="AI16" i="3"/>
  <c r="AJ16" i="3"/>
  <c r="AX16" i="3"/>
  <c r="AY16" i="3"/>
  <c r="AZ16" i="3"/>
  <c r="BA16" i="3"/>
  <c r="C17" i="3"/>
  <c r="D17" i="3"/>
  <c r="F17" i="3"/>
  <c r="N17" i="3"/>
  <c r="O17" i="3"/>
  <c r="Q17" i="3"/>
  <c r="R17" i="3"/>
  <c r="AB17" i="3"/>
  <c r="AC17" i="3"/>
  <c r="AD17" i="3"/>
  <c r="AE17" i="3"/>
  <c r="AI17" i="3"/>
  <c r="AJ17" i="3"/>
  <c r="AX17" i="3"/>
  <c r="AY17" i="3"/>
  <c r="AZ17" i="3"/>
  <c r="BA17" i="3"/>
  <c r="C18" i="3"/>
  <c r="D18" i="3"/>
  <c r="F18" i="3"/>
  <c r="N18" i="3"/>
  <c r="O18" i="3"/>
  <c r="Q18" i="3"/>
  <c r="R18" i="3"/>
  <c r="AB18" i="3"/>
  <c r="AC18" i="3"/>
  <c r="AD18" i="3"/>
  <c r="AE18" i="3"/>
  <c r="AI18" i="3"/>
  <c r="AJ18" i="3"/>
  <c r="AX18" i="3"/>
  <c r="AY18" i="3"/>
  <c r="AZ18" i="3"/>
  <c r="BA18" i="3"/>
  <c r="C19" i="3"/>
  <c r="D19" i="3"/>
  <c r="E19" i="3"/>
  <c r="F19" i="3"/>
  <c r="N19" i="3"/>
  <c r="O19" i="3"/>
  <c r="Q19" i="3"/>
  <c r="R19" i="3"/>
  <c r="AB19" i="3"/>
  <c r="AC19" i="3"/>
  <c r="AD19" i="3"/>
  <c r="AE19" i="3"/>
  <c r="AI19" i="3"/>
  <c r="AJ19" i="3"/>
  <c r="AX19" i="3"/>
  <c r="AY19" i="3"/>
  <c r="AZ19" i="3"/>
  <c r="BA19" i="3"/>
  <c r="C20" i="3"/>
  <c r="E20" i="3" s="1"/>
  <c r="D20" i="3"/>
  <c r="F20" i="3"/>
  <c r="N20" i="3"/>
  <c r="O20" i="3"/>
  <c r="Q20" i="3"/>
  <c r="R20" i="3"/>
  <c r="AB20" i="3"/>
  <c r="AC20" i="3"/>
  <c r="AD20" i="3"/>
  <c r="AE20" i="3"/>
  <c r="AI20" i="3"/>
  <c r="AJ20" i="3"/>
  <c r="AX20" i="3"/>
  <c r="AY20" i="3"/>
  <c r="AZ20" i="3"/>
  <c r="BA20" i="3"/>
  <c r="C21" i="3"/>
  <c r="D21" i="3"/>
  <c r="F21" i="3"/>
  <c r="N21" i="3"/>
  <c r="O21" i="3"/>
  <c r="Q21" i="3"/>
  <c r="R21" i="3"/>
  <c r="AB21" i="3"/>
  <c r="AC21" i="3"/>
  <c r="AD21" i="3"/>
  <c r="AE21" i="3"/>
  <c r="AI21" i="3"/>
  <c r="AJ21" i="3"/>
  <c r="AX21" i="3"/>
  <c r="AY21" i="3"/>
  <c r="AZ21" i="3"/>
  <c r="BA21" i="3"/>
  <c r="C22" i="3"/>
  <c r="D22" i="3"/>
  <c r="F22" i="3"/>
  <c r="N22" i="3"/>
  <c r="O22" i="3"/>
  <c r="P22" i="3"/>
  <c r="Q22" i="3"/>
  <c r="R22" i="3"/>
  <c r="S22" i="3"/>
  <c r="AB22" i="3"/>
  <c r="AC22" i="3"/>
  <c r="AD22" i="3"/>
  <c r="AE22" i="3"/>
  <c r="AI22" i="3"/>
  <c r="AJ22" i="3"/>
  <c r="AX22" i="3"/>
  <c r="AY22" i="3"/>
  <c r="AZ22" i="3"/>
  <c r="BA22" i="3"/>
  <c r="C23" i="3"/>
  <c r="D23" i="3"/>
  <c r="F23" i="3"/>
  <c r="N23" i="3"/>
  <c r="O23" i="3"/>
  <c r="P23" i="3"/>
  <c r="Q23" i="3"/>
  <c r="R23" i="3"/>
  <c r="AB23" i="3"/>
  <c r="AC23" i="3"/>
  <c r="AD23" i="3"/>
  <c r="AE23" i="3"/>
  <c r="AI23" i="3"/>
  <c r="AJ23" i="3"/>
  <c r="AX23" i="3"/>
  <c r="AY23" i="3"/>
  <c r="AZ23" i="3"/>
  <c r="BA23" i="3"/>
  <c r="C24" i="3"/>
  <c r="D24" i="3"/>
  <c r="F24" i="3"/>
  <c r="N24" i="3"/>
  <c r="O24" i="3"/>
  <c r="Q24" i="3"/>
  <c r="R24" i="3"/>
  <c r="AB24" i="3"/>
  <c r="AC24" i="3"/>
  <c r="AD24" i="3"/>
  <c r="AE24" i="3"/>
  <c r="AI24" i="3"/>
  <c r="AJ24" i="3"/>
  <c r="AX24" i="3"/>
  <c r="AY24" i="3"/>
  <c r="AZ24" i="3"/>
  <c r="BA24" i="3"/>
  <c r="C25" i="3"/>
  <c r="D25" i="3"/>
  <c r="F25" i="3"/>
  <c r="N25" i="3"/>
  <c r="O25" i="3"/>
  <c r="Q25" i="3"/>
  <c r="R25" i="3"/>
  <c r="AB25" i="3"/>
  <c r="AC25" i="3"/>
  <c r="AD25" i="3"/>
  <c r="AE25" i="3"/>
  <c r="AI25" i="3"/>
  <c r="AJ25" i="3"/>
  <c r="AX25" i="3"/>
  <c r="AY25" i="3"/>
  <c r="AZ25" i="3"/>
  <c r="BA25" i="3"/>
  <c r="C26" i="3"/>
  <c r="D26" i="3"/>
  <c r="F26" i="3"/>
  <c r="N26" i="3"/>
  <c r="O26" i="3"/>
  <c r="P26" i="3"/>
  <c r="Q26" i="3"/>
  <c r="R26" i="3"/>
  <c r="AB26" i="3"/>
  <c r="AC26" i="3"/>
  <c r="AD26" i="3"/>
  <c r="AE26" i="3"/>
  <c r="AI26" i="3"/>
  <c r="AJ26" i="3"/>
  <c r="AX26" i="3"/>
  <c r="AY26" i="3"/>
  <c r="AZ26" i="3"/>
  <c r="BA26" i="3"/>
  <c r="C27" i="3"/>
  <c r="D27" i="3"/>
  <c r="F27" i="3"/>
  <c r="N27" i="3"/>
  <c r="O27" i="3"/>
  <c r="Q27" i="3"/>
  <c r="R27" i="3"/>
  <c r="AB27" i="3"/>
  <c r="AC27" i="3"/>
  <c r="AD27" i="3"/>
  <c r="AE27" i="3"/>
  <c r="AI27" i="3"/>
  <c r="AJ27" i="3"/>
  <c r="AX27" i="3"/>
  <c r="AY27" i="3"/>
  <c r="AZ27" i="3"/>
  <c r="BA27" i="3"/>
  <c r="C28" i="3"/>
  <c r="D28" i="3"/>
  <c r="F28" i="3"/>
  <c r="N28" i="3"/>
  <c r="O28" i="3"/>
  <c r="Q28" i="3"/>
  <c r="R28" i="3"/>
  <c r="AB28" i="3"/>
  <c r="AC28" i="3"/>
  <c r="AD28" i="3"/>
  <c r="AE28" i="3"/>
  <c r="AI28" i="3"/>
  <c r="AJ28" i="3"/>
  <c r="AX28" i="3"/>
  <c r="AY28" i="3"/>
  <c r="AZ28" i="3"/>
  <c r="BA28" i="3"/>
  <c r="C29" i="3"/>
  <c r="D29" i="3"/>
  <c r="F29" i="3"/>
  <c r="N29" i="3"/>
  <c r="O29" i="3"/>
  <c r="Q29" i="3"/>
  <c r="R29" i="3"/>
  <c r="AB29" i="3"/>
  <c r="AC29" i="3"/>
  <c r="AD29" i="3"/>
  <c r="AE29" i="3"/>
  <c r="AI29" i="3"/>
  <c r="AJ29" i="3"/>
  <c r="AX29" i="3"/>
  <c r="AY29" i="3"/>
  <c r="AZ29" i="3"/>
  <c r="BA29" i="3"/>
  <c r="C30" i="3"/>
  <c r="E30" i="3" s="1"/>
  <c r="D30" i="3"/>
  <c r="F30" i="3"/>
  <c r="N30" i="3"/>
  <c r="O30" i="3"/>
  <c r="Q30" i="3"/>
  <c r="R30" i="3"/>
  <c r="AB30" i="3"/>
  <c r="AC30" i="3"/>
  <c r="AD30" i="3"/>
  <c r="AE30" i="3"/>
  <c r="AI30" i="3"/>
  <c r="AJ30" i="3"/>
  <c r="AX30" i="3"/>
  <c r="AY30" i="3"/>
  <c r="AZ30" i="3"/>
  <c r="BA30" i="3"/>
  <c r="C31" i="3"/>
  <c r="D31" i="3"/>
  <c r="F31" i="3"/>
  <c r="N31" i="3"/>
  <c r="O31" i="3"/>
  <c r="Q31" i="3"/>
  <c r="R31" i="3"/>
  <c r="AB31" i="3"/>
  <c r="AC31" i="3"/>
  <c r="AD31" i="3"/>
  <c r="AE31" i="3"/>
  <c r="AI31" i="3"/>
  <c r="AJ31" i="3"/>
  <c r="AX31" i="3"/>
  <c r="AY31" i="3"/>
  <c r="AZ31" i="3"/>
  <c r="BA31" i="3"/>
  <c r="C32" i="3"/>
  <c r="E32" i="3" s="1"/>
  <c r="D32" i="3"/>
  <c r="F32" i="3"/>
  <c r="N32" i="3"/>
  <c r="O32" i="3"/>
  <c r="Q32" i="3"/>
  <c r="R32" i="3"/>
  <c r="AB32" i="3"/>
  <c r="AC32" i="3"/>
  <c r="AD32" i="3"/>
  <c r="AE32" i="3"/>
  <c r="AI32" i="3"/>
  <c r="AJ32" i="3"/>
  <c r="AX32" i="3"/>
  <c r="AY32" i="3"/>
  <c r="AZ32" i="3"/>
  <c r="BA32" i="3"/>
  <c r="C33" i="3"/>
  <c r="D33" i="3"/>
  <c r="F33" i="3"/>
  <c r="N33" i="3"/>
  <c r="O33" i="3"/>
  <c r="G33" i="3" s="1"/>
  <c r="Q33" i="3"/>
  <c r="R33" i="3"/>
  <c r="AB33" i="3"/>
  <c r="AC33" i="3"/>
  <c r="AD33" i="3"/>
  <c r="AE33" i="3"/>
  <c r="AI33" i="3"/>
  <c r="AJ33" i="3"/>
  <c r="AX33" i="3"/>
  <c r="AY33" i="3"/>
  <c r="AZ33" i="3"/>
  <c r="BA33" i="3"/>
  <c r="C34" i="3"/>
  <c r="D34" i="3"/>
  <c r="F34" i="3"/>
  <c r="N34" i="3"/>
  <c r="O34" i="3"/>
  <c r="Q34" i="3"/>
  <c r="R34" i="3"/>
  <c r="AB34" i="3"/>
  <c r="AC34" i="3"/>
  <c r="AD34" i="3"/>
  <c r="AE34" i="3"/>
  <c r="AI34" i="3"/>
  <c r="AJ34" i="3"/>
  <c r="AX34" i="3"/>
  <c r="AY34" i="3"/>
  <c r="AZ34" i="3"/>
  <c r="BA34" i="3"/>
  <c r="C35" i="3"/>
  <c r="D35" i="3"/>
  <c r="F35" i="3"/>
  <c r="N35" i="3"/>
  <c r="O35" i="3"/>
  <c r="Q35" i="3"/>
  <c r="R35" i="3"/>
  <c r="AB35" i="3"/>
  <c r="AC35" i="3"/>
  <c r="AD35" i="3"/>
  <c r="AE35" i="3"/>
  <c r="AI35" i="3"/>
  <c r="AJ35" i="3"/>
  <c r="AX35" i="3"/>
  <c r="AY35" i="3"/>
  <c r="AZ35" i="3"/>
  <c r="BA35" i="3"/>
  <c r="C36" i="3"/>
  <c r="D36" i="3"/>
  <c r="E36" i="3" s="1"/>
  <c r="F36" i="3"/>
  <c r="N36" i="3"/>
  <c r="O36" i="3"/>
  <c r="Q36" i="3"/>
  <c r="R36" i="3"/>
  <c r="AB36" i="3"/>
  <c r="AC36" i="3"/>
  <c r="AD36" i="3"/>
  <c r="AE36" i="3"/>
  <c r="AI36" i="3"/>
  <c r="AJ36" i="3"/>
  <c r="AX36" i="3"/>
  <c r="AY36" i="3"/>
  <c r="AZ36" i="3"/>
  <c r="BA36" i="3"/>
  <c r="C37" i="3"/>
  <c r="D37" i="3"/>
  <c r="F37" i="3"/>
  <c r="N37" i="3"/>
  <c r="O37" i="3"/>
  <c r="Q37" i="3"/>
  <c r="R37" i="3"/>
  <c r="AB37" i="3"/>
  <c r="AC37" i="3"/>
  <c r="AD37" i="3"/>
  <c r="AE37" i="3"/>
  <c r="AI37" i="3"/>
  <c r="AJ37" i="3"/>
  <c r="AX37" i="3"/>
  <c r="AY37" i="3"/>
  <c r="AZ37" i="3"/>
  <c r="BA37" i="3"/>
  <c r="C38" i="3"/>
  <c r="D38" i="3"/>
  <c r="F38" i="3"/>
  <c r="N38" i="3"/>
  <c r="O38" i="3"/>
  <c r="Q38" i="3"/>
  <c r="R38" i="3"/>
  <c r="S38" i="3"/>
  <c r="L38" i="3" s="1"/>
  <c r="AB38" i="3"/>
  <c r="AC38" i="3"/>
  <c r="AD38" i="3"/>
  <c r="AE38" i="3"/>
  <c r="AI38" i="3"/>
  <c r="AJ38" i="3"/>
  <c r="AX38" i="3"/>
  <c r="AY38" i="3"/>
  <c r="AZ38" i="3"/>
  <c r="BA38" i="3"/>
  <c r="C39" i="3"/>
  <c r="D39" i="3"/>
  <c r="E39" i="3"/>
  <c r="F39" i="3"/>
  <c r="N39" i="3"/>
  <c r="O39" i="3"/>
  <c r="G39" i="3" s="1"/>
  <c r="Q39" i="3"/>
  <c r="R39" i="3"/>
  <c r="AB39" i="3"/>
  <c r="AC39" i="3"/>
  <c r="AD39" i="3"/>
  <c r="AE39" i="3"/>
  <c r="AI39" i="3"/>
  <c r="AJ39" i="3"/>
  <c r="AX39" i="3"/>
  <c r="AY39" i="3"/>
  <c r="AZ39" i="3"/>
  <c r="BA39" i="3"/>
  <c r="C40" i="3"/>
  <c r="E40" i="3" s="1"/>
  <c r="D40" i="3"/>
  <c r="F40" i="3"/>
  <c r="N40" i="3"/>
  <c r="O40" i="3"/>
  <c r="Q40" i="3"/>
  <c r="R40" i="3"/>
  <c r="AB40" i="3"/>
  <c r="AC40" i="3"/>
  <c r="AD40" i="3"/>
  <c r="AE40" i="3"/>
  <c r="AI40" i="3"/>
  <c r="AJ40" i="3"/>
  <c r="AX40" i="3"/>
  <c r="AY40" i="3"/>
  <c r="AZ40" i="3"/>
  <c r="BA40" i="3"/>
  <c r="C41" i="3"/>
  <c r="D41" i="3"/>
  <c r="F41" i="3"/>
  <c r="N41" i="3"/>
  <c r="O41" i="3"/>
  <c r="Q41" i="3"/>
  <c r="R41" i="3"/>
  <c r="AB41" i="3"/>
  <c r="AC41" i="3"/>
  <c r="AD41" i="3"/>
  <c r="AE41" i="3"/>
  <c r="AI41" i="3"/>
  <c r="AJ41" i="3"/>
  <c r="AX41" i="3"/>
  <c r="AY41" i="3"/>
  <c r="AZ41" i="3"/>
  <c r="BA41" i="3"/>
  <c r="C42" i="3"/>
  <c r="E42" i="3" s="1"/>
  <c r="D42" i="3"/>
  <c r="F42" i="3"/>
  <c r="N42" i="3"/>
  <c r="O42" i="3"/>
  <c r="G42" i="3" s="1"/>
  <c r="Q42" i="3"/>
  <c r="R42" i="3"/>
  <c r="AB42" i="3"/>
  <c r="AC42" i="3"/>
  <c r="AD42" i="3"/>
  <c r="AE42" i="3"/>
  <c r="AI42" i="3"/>
  <c r="AJ42" i="3"/>
  <c r="AX42" i="3"/>
  <c r="AY42" i="3"/>
  <c r="AZ42" i="3"/>
  <c r="BA42" i="3"/>
  <c r="C43" i="3"/>
  <c r="D43" i="3"/>
  <c r="F43" i="3"/>
  <c r="N43" i="3"/>
  <c r="O43" i="3"/>
  <c r="Q43" i="3"/>
  <c r="R43" i="3"/>
  <c r="AB43" i="3"/>
  <c r="AC43" i="3"/>
  <c r="AD43" i="3"/>
  <c r="AE43" i="3"/>
  <c r="AI43" i="3"/>
  <c r="AJ43" i="3"/>
  <c r="AX43" i="3"/>
  <c r="AY43" i="3"/>
  <c r="AZ43" i="3"/>
  <c r="BA43" i="3"/>
  <c r="C44" i="3"/>
  <c r="D44" i="3"/>
  <c r="E44" i="3"/>
  <c r="F44" i="3"/>
  <c r="N44" i="3"/>
  <c r="O44" i="3"/>
  <c r="Q44" i="3"/>
  <c r="R44" i="3"/>
  <c r="AB44" i="3"/>
  <c r="AC44" i="3"/>
  <c r="AD44" i="3"/>
  <c r="AE44" i="3"/>
  <c r="AI44" i="3"/>
  <c r="AJ44" i="3"/>
  <c r="AX44" i="3"/>
  <c r="AY44" i="3"/>
  <c r="AZ44" i="3"/>
  <c r="BA44" i="3"/>
  <c r="C45" i="3"/>
  <c r="E45" i="3" s="1"/>
  <c r="D45" i="3"/>
  <c r="F45" i="3"/>
  <c r="N45" i="3"/>
  <c r="O45" i="3"/>
  <c r="Q45" i="3"/>
  <c r="R45" i="3"/>
  <c r="AB45" i="3"/>
  <c r="AC45" i="3"/>
  <c r="AD45" i="3"/>
  <c r="AE45" i="3"/>
  <c r="AI45" i="3"/>
  <c r="AJ45" i="3"/>
  <c r="AX45" i="3"/>
  <c r="AY45" i="3"/>
  <c r="AZ45" i="3"/>
  <c r="BA45" i="3"/>
  <c r="C46" i="3"/>
  <c r="D46" i="3"/>
  <c r="F46" i="3"/>
  <c r="N46" i="3"/>
  <c r="O46" i="3"/>
  <c r="G46" i="3" s="1"/>
  <c r="Q46" i="3"/>
  <c r="R46" i="3"/>
  <c r="AB46" i="3"/>
  <c r="AC46" i="3"/>
  <c r="AD46" i="3"/>
  <c r="AE46" i="3"/>
  <c r="AI46" i="3"/>
  <c r="AJ46" i="3"/>
  <c r="AX46" i="3"/>
  <c r="AY46" i="3"/>
  <c r="AZ46" i="3"/>
  <c r="BA46" i="3"/>
  <c r="C47" i="3"/>
  <c r="D47" i="3"/>
  <c r="E47" i="3" s="1"/>
  <c r="F47" i="3"/>
  <c r="N47" i="3"/>
  <c r="O47" i="3"/>
  <c r="Q47" i="3"/>
  <c r="R47" i="3"/>
  <c r="AB47" i="3"/>
  <c r="AC47" i="3"/>
  <c r="AD47" i="3"/>
  <c r="AE47" i="3"/>
  <c r="AI47" i="3"/>
  <c r="AJ47" i="3"/>
  <c r="AX47" i="3"/>
  <c r="AY47" i="3"/>
  <c r="AZ47" i="3"/>
  <c r="BA47" i="3"/>
  <c r="C48" i="3"/>
  <c r="D48" i="3"/>
  <c r="F48" i="3"/>
  <c r="N48" i="3"/>
  <c r="O48" i="3"/>
  <c r="Q48" i="3"/>
  <c r="R48" i="3"/>
  <c r="AB48" i="3"/>
  <c r="AC48" i="3"/>
  <c r="AD48" i="3"/>
  <c r="AE48" i="3"/>
  <c r="AI48" i="3"/>
  <c r="AJ48" i="3"/>
  <c r="AX48" i="3"/>
  <c r="AY48" i="3"/>
  <c r="AZ48" i="3"/>
  <c r="BA48" i="3"/>
  <c r="C49" i="3"/>
  <c r="D49" i="3"/>
  <c r="F49" i="3"/>
  <c r="N49" i="3"/>
  <c r="O49" i="3"/>
  <c r="Q49" i="3"/>
  <c r="R49" i="3"/>
  <c r="AB49" i="3"/>
  <c r="AC49" i="3"/>
  <c r="AD49" i="3"/>
  <c r="AE49" i="3"/>
  <c r="AI49" i="3"/>
  <c r="AJ49" i="3"/>
  <c r="AX49" i="3"/>
  <c r="AY49" i="3"/>
  <c r="AZ49" i="3"/>
  <c r="BA49" i="3"/>
  <c r="C50" i="3"/>
  <c r="D50" i="3"/>
  <c r="F50" i="3"/>
  <c r="N50" i="3"/>
  <c r="O50" i="3"/>
  <c r="Q50" i="3"/>
  <c r="R50" i="3"/>
  <c r="S50" i="3"/>
  <c r="L50" i="3" s="1"/>
  <c r="AB50" i="3"/>
  <c r="AC50" i="3"/>
  <c r="AD50" i="3"/>
  <c r="AE50" i="3"/>
  <c r="AI50" i="3"/>
  <c r="AJ50" i="3"/>
  <c r="AX50" i="3"/>
  <c r="AY50" i="3"/>
  <c r="AZ50" i="3"/>
  <c r="BA50" i="3"/>
  <c r="C51" i="3"/>
  <c r="E51" i="3" s="1"/>
  <c r="D51" i="3"/>
  <c r="F51" i="3"/>
  <c r="N51" i="3"/>
  <c r="O51" i="3"/>
  <c r="Q51" i="3"/>
  <c r="R51" i="3"/>
  <c r="AB51" i="3"/>
  <c r="AC51" i="3"/>
  <c r="AD51" i="3"/>
  <c r="AE51" i="3"/>
  <c r="AI51" i="3"/>
  <c r="AJ51" i="3"/>
  <c r="AX51" i="3"/>
  <c r="AY51" i="3"/>
  <c r="AZ51" i="3"/>
  <c r="BA51" i="3"/>
  <c r="C52" i="3"/>
  <c r="D52" i="3"/>
  <c r="F52" i="3"/>
  <c r="N52" i="3"/>
  <c r="O52" i="3"/>
  <c r="Q52" i="3"/>
  <c r="R52" i="3"/>
  <c r="AB52" i="3"/>
  <c r="AC52" i="3"/>
  <c r="AD52" i="3"/>
  <c r="AE52" i="3"/>
  <c r="AI52" i="3"/>
  <c r="AJ52" i="3"/>
  <c r="AX52" i="3"/>
  <c r="AY52" i="3"/>
  <c r="AZ52" i="3"/>
  <c r="BA52" i="3"/>
  <c r="C53" i="3"/>
  <c r="D53" i="3"/>
  <c r="F53" i="3"/>
  <c r="N53" i="3"/>
  <c r="O53" i="3"/>
  <c r="Q53" i="3"/>
  <c r="R53" i="3"/>
  <c r="AB53" i="3"/>
  <c r="AC53" i="3"/>
  <c r="AD53" i="3"/>
  <c r="AE53" i="3"/>
  <c r="AI53" i="3"/>
  <c r="AJ53" i="3"/>
  <c r="AX53" i="3"/>
  <c r="AY53" i="3"/>
  <c r="AZ53" i="3"/>
  <c r="BA53" i="3"/>
  <c r="C54" i="3"/>
  <c r="E54" i="3" s="1"/>
  <c r="D54" i="3"/>
  <c r="F54" i="3"/>
  <c r="N54" i="3"/>
  <c r="O54" i="3"/>
  <c r="P54" i="3" s="1"/>
  <c r="Q54" i="3"/>
  <c r="R54" i="3"/>
  <c r="AB54" i="3"/>
  <c r="AC54" i="3"/>
  <c r="AD54" i="3"/>
  <c r="AE54" i="3"/>
  <c r="AI54" i="3"/>
  <c r="AJ54" i="3"/>
  <c r="AX54" i="3"/>
  <c r="AY54" i="3"/>
  <c r="AZ54" i="3"/>
  <c r="BA54" i="3"/>
  <c r="C55" i="3"/>
  <c r="D55" i="3"/>
  <c r="F55" i="3"/>
  <c r="N55" i="3"/>
  <c r="O55" i="3"/>
  <c r="Q55" i="3"/>
  <c r="R55" i="3"/>
  <c r="AB55" i="3"/>
  <c r="AC55" i="3"/>
  <c r="AD55" i="3"/>
  <c r="AE55" i="3"/>
  <c r="AI55" i="3"/>
  <c r="AJ55" i="3"/>
  <c r="AX55" i="3"/>
  <c r="AY55" i="3"/>
  <c r="AZ55" i="3"/>
  <c r="BA55" i="3"/>
  <c r="C56" i="3"/>
  <c r="D56" i="3"/>
  <c r="F56" i="3"/>
  <c r="N56" i="3"/>
  <c r="O56" i="3"/>
  <c r="G56" i="3" s="1"/>
  <c r="Q56" i="3"/>
  <c r="R56" i="3"/>
  <c r="AB56" i="3"/>
  <c r="AC56" i="3"/>
  <c r="AD56" i="3"/>
  <c r="AE56" i="3"/>
  <c r="AI56" i="3"/>
  <c r="AJ56" i="3"/>
  <c r="AX56" i="3"/>
  <c r="AY56" i="3"/>
  <c r="AZ56" i="3"/>
  <c r="BA56" i="3"/>
  <c r="C57" i="3"/>
  <c r="D57" i="3"/>
  <c r="F57" i="3"/>
  <c r="N57" i="3"/>
  <c r="O57" i="3"/>
  <c r="Q57" i="3"/>
  <c r="R57" i="3"/>
  <c r="AB57" i="3"/>
  <c r="AC57" i="3"/>
  <c r="AD57" i="3"/>
  <c r="AE57" i="3"/>
  <c r="AI57" i="3"/>
  <c r="AJ57" i="3"/>
  <c r="AX57" i="3"/>
  <c r="AY57" i="3"/>
  <c r="AZ57" i="3"/>
  <c r="BA57" i="3"/>
  <c r="C58" i="3"/>
  <c r="D58" i="3"/>
  <c r="F58" i="3"/>
  <c r="N58" i="3"/>
  <c r="O58" i="3"/>
  <c r="P58" i="3" s="1"/>
  <c r="Q58" i="3"/>
  <c r="R58" i="3"/>
  <c r="AB58" i="3"/>
  <c r="AC58" i="3"/>
  <c r="AD58" i="3"/>
  <c r="AE58" i="3"/>
  <c r="AI58" i="3"/>
  <c r="AJ58" i="3"/>
  <c r="AX58" i="3"/>
  <c r="AY58" i="3"/>
  <c r="AZ58" i="3"/>
  <c r="BA58" i="3"/>
  <c r="C59" i="3"/>
  <c r="D59" i="3"/>
  <c r="F59" i="3"/>
  <c r="N59" i="3"/>
  <c r="O59" i="3"/>
  <c r="P59" i="3"/>
  <c r="Q59" i="3"/>
  <c r="R59" i="3"/>
  <c r="AB59" i="3"/>
  <c r="AC59" i="3"/>
  <c r="AD59" i="3"/>
  <c r="AE59" i="3"/>
  <c r="AI59" i="3"/>
  <c r="AJ59" i="3"/>
  <c r="AX59" i="3"/>
  <c r="AY59" i="3"/>
  <c r="AZ59" i="3"/>
  <c r="BA59" i="3"/>
  <c r="C60" i="3"/>
  <c r="D60" i="3"/>
  <c r="F60" i="3"/>
  <c r="N60" i="3"/>
  <c r="O60" i="3"/>
  <c r="Q60" i="3"/>
  <c r="R60" i="3"/>
  <c r="AB60" i="3"/>
  <c r="AC60" i="3"/>
  <c r="AD60" i="3"/>
  <c r="AE60" i="3"/>
  <c r="AI60" i="3"/>
  <c r="AJ60" i="3"/>
  <c r="AX60" i="3"/>
  <c r="AY60" i="3"/>
  <c r="AZ60" i="3"/>
  <c r="BA60" i="3"/>
  <c r="C61" i="3"/>
  <c r="D61" i="3"/>
  <c r="F61" i="3"/>
  <c r="N61" i="3"/>
  <c r="O61" i="3"/>
  <c r="Q61" i="3"/>
  <c r="R61" i="3"/>
  <c r="AB61" i="3"/>
  <c r="AC61" i="3"/>
  <c r="AD61" i="3"/>
  <c r="AE61" i="3"/>
  <c r="AI61" i="3"/>
  <c r="AJ61" i="3"/>
  <c r="AX61" i="3"/>
  <c r="AY61" i="3"/>
  <c r="AZ61" i="3"/>
  <c r="BA61" i="3"/>
  <c r="C62" i="3"/>
  <c r="D62" i="3"/>
  <c r="F62" i="3"/>
  <c r="N62" i="3"/>
  <c r="O62" i="3"/>
  <c r="G62" i="3" s="1"/>
  <c r="Q62" i="3"/>
  <c r="R62" i="3"/>
  <c r="AB62" i="3"/>
  <c r="AC62" i="3"/>
  <c r="AD62" i="3"/>
  <c r="AE62" i="3"/>
  <c r="AI62" i="3"/>
  <c r="AJ62" i="3"/>
  <c r="AX62" i="3"/>
  <c r="AY62" i="3"/>
  <c r="AZ62" i="3"/>
  <c r="BA62" i="3"/>
  <c r="C63" i="3"/>
  <c r="D63" i="3"/>
  <c r="E63" i="3" s="1"/>
  <c r="F63" i="3"/>
  <c r="N63" i="3"/>
  <c r="O63" i="3"/>
  <c r="Q63" i="3"/>
  <c r="R63" i="3"/>
  <c r="AB63" i="3"/>
  <c r="AC63" i="3"/>
  <c r="AD63" i="3"/>
  <c r="AE63" i="3"/>
  <c r="AI63" i="3"/>
  <c r="AJ63" i="3"/>
  <c r="AX63" i="3"/>
  <c r="AY63" i="3"/>
  <c r="AZ63" i="3"/>
  <c r="BA63" i="3"/>
  <c r="C64" i="3"/>
  <c r="D64" i="3"/>
  <c r="F64" i="3"/>
  <c r="N64" i="3"/>
  <c r="O64" i="3"/>
  <c r="G64" i="3" s="1"/>
  <c r="Q64" i="3"/>
  <c r="R64" i="3"/>
  <c r="AB64" i="3"/>
  <c r="AC64" i="3"/>
  <c r="AD64" i="3"/>
  <c r="AE64" i="3"/>
  <c r="AI64" i="3"/>
  <c r="AJ64" i="3"/>
  <c r="AX64" i="3"/>
  <c r="AY64" i="3"/>
  <c r="AZ64" i="3"/>
  <c r="BA64" i="3"/>
  <c r="C65" i="3"/>
  <c r="D65" i="3"/>
  <c r="F65" i="3"/>
  <c r="N65" i="3"/>
  <c r="O65" i="3"/>
  <c r="Q65" i="3"/>
  <c r="R65" i="3"/>
  <c r="AB65" i="3"/>
  <c r="AC65" i="3"/>
  <c r="AD65" i="3"/>
  <c r="AE65" i="3"/>
  <c r="AI65" i="3"/>
  <c r="AJ65" i="3"/>
  <c r="AX65" i="3"/>
  <c r="AY65" i="3"/>
  <c r="AZ65" i="3"/>
  <c r="BA65" i="3"/>
  <c r="C66" i="3"/>
  <c r="D66" i="3"/>
  <c r="F66" i="3"/>
  <c r="N66" i="3"/>
  <c r="O66" i="3"/>
  <c r="Q66" i="3"/>
  <c r="R66" i="3"/>
  <c r="AB66" i="3"/>
  <c r="AC66" i="3"/>
  <c r="AD66" i="3"/>
  <c r="AE66" i="3"/>
  <c r="AI66" i="3"/>
  <c r="AJ66" i="3"/>
  <c r="AX66" i="3"/>
  <c r="AY66" i="3"/>
  <c r="AZ66" i="3"/>
  <c r="BA66" i="3"/>
  <c r="C67" i="3"/>
  <c r="D67" i="3"/>
  <c r="F67" i="3"/>
  <c r="N67" i="3"/>
  <c r="O67" i="3"/>
  <c r="Q67" i="3"/>
  <c r="R67" i="3"/>
  <c r="AB67" i="3"/>
  <c r="AC67" i="3"/>
  <c r="AD67" i="3"/>
  <c r="AE67" i="3"/>
  <c r="AI67" i="3"/>
  <c r="AJ67" i="3"/>
  <c r="AX67" i="3"/>
  <c r="AY67" i="3"/>
  <c r="AZ67" i="3"/>
  <c r="BA67" i="3"/>
  <c r="C68" i="3"/>
  <c r="D68" i="3"/>
  <c r="E68" i="3" s="1"/>
  <c r="F68" i="3"/>
  <c r="N68" i="3"/>
  <c r="O68" i="3"/>
  <c r="G68" i="3" s="1"/>
  <c r="Q68" i="3"/>
  <c r="R68" i="3"/>
  <c r="AB68" i="3"/>
  <c r="AC68" i="3"/>
  <c r="AD68" i="3"/>
  <c r="AE68" i="3"/>
  <c r="AI68" i="3"/>
  <c r="AJ68" i="3"/>
  <c r="AX68" i="3"/>
  <c r="AY68" i="3"/>
  <c r="AZ68" i="3"/>
  <c r="BA68" i="3"/>
  <c r="C69" i="3"/>
  <c r="D69" i="3"/>
  <c r="F69" i="3"/>
  <c r="N69" i="3"/>
  <c r="O69" i="3"/>
  <c r="Q69" i="3"/>
  <c r="H69" i="3" s="1"/>
  <c r="AT69" i="3" s="1"/>
  <c r="R69" i="3"/>
  <c r="AB69" i="3"/>
  <c r="AC69" i="3"/>
  <c r="AD69" i="3"/>
  <c r="AE69" i="3"/>
  <c r="AI69" i="3"/>
  <c r="AJ69" i="3"/>
  <c r="AX69" i="3"/>
  <c r="AY69" i="3"/>
  <c r="AZ69" i="3"/>
  <c r="BA69" i="3"/>
  <c r="C70" i="3"/>
  <c r="D70" i="3"/>
  <c r="E70" i="3"/>
  <c r="F70" i="3"/>
  <c r="N70" i="3"/>
  <c r="O70" i="3"/>
  <c r="Q70" i="3"/>
  <c r="R70" i="3"/>
  <c r="AB70" i="3"/>
  <c r="AC70" i="3"/>
  <c r="AD70" i="3"/>
  <c r="AE70" i="3"/>
  <c r="AI70" i="3"/>
  <c r="AJ70" i="3"/>
  <c r="AX70" i="3"/>
  <c r="AY70" i="3"/>
  <c r="AZ70" i="3"/>
  <c r="BA70" i="3"/>
  <c r="C71" i="3"/>
  <c r="D71" i="3"/>
  <c r="E71" i="3" s="1"/>
  <c r="F71" i="3"/>
  <c r="N71" i="3"/>
  <c r="O71" i="3"/>
  <c r="Q71" i="3"/>
  <c r="R71" i="3"/>
  <c r="AB71" i="3"/>
  <c r="AC71" i="3"/>
  <c r="AD71" i="3"/>
  <c r="AE71" i="3"/>
  <c r="AI71" i="3"/>
  <c r="AJ71" i="3"/>
  <c r="AX71" i="3"/>
  <c r="AY71" i="3"/>
  <c r="AZ71" i="3"/>
  <c r="BA71" i="3"/>
  <c r="C72" i="3"/>
  <c r="D72" i="3"/>
  <c r="F72" i="3"/>
  <c r="N72" i="3"/>
  <c r="O72" i="3"/>
  <c r="Q72" i="3"/>
  <c r="R72" i="3"/>
  <c r="AB72" i="3"/>
  <c r="AC72" i="3"/>
  <c r="AD72" i="3"/>
  <c r="AE72" i="3"/>
  <c r="AI72" i="3"/>
  <c r="AJ72" i="3"/>
  <c r="AX72" i="3"/>
  <c r="AY72" i="3"/>
  <c r="AZ72" i="3"/>
  <c r="BA72" i="3"/>
  <c r="C73" i="3"/>
  <c r="D73" i="3"/>
  <c r="F73" i="3"/>
  <c r="N73" i="3"/>
  <c r="O73" i="3"/>
  <c r="Q73" i="3"/>
  <c r="R73" i="3"/>
  <c r="AB73" i="3"/>
  <c r="AC73" i="3"/>
  <c r="AD73" i="3"/>
  <c r="AE73" i="3"/>
  <c r="AI73" i="3"/>
  <c r="AJ73" i="3"/>
  <c r="AX73" i="3"/>
  <c r="AY73" i="3"/>
  <c r="AZ73" i="3"/>
  <c r="BA73" i="3"/>
  <c r="C74" i="3"/>
  <c r="E74" i="3" s="1"/>
  <c r="D74" i="3"/>
  <c r="F74" i="3"/>
  <c r="N74" i="3"/>
  <c r="O74" i="3"/>
  <c r="Q74" i="3"/>
  <c r="R74" i="3"/>
  <c r="AB74" i="3"/>
  <c r="AC74" i="3"/>
  <c r="AD74" i="3"/>
  <c r="AE74" i="3"/>
  <c r="AI74" i="3"/>
  <c r="AJ74" i="3"/>
  <c r="AX74" i="3"/>
  <c r="AY74" i="3"/>
  <c r="AZ74" i="3"/>
  <c r="BA74" i="3"/>
  <c r="C75" i="3"/>
  <c r="D75" i="3"/>
  <c r="E75" i="3" s="1"/>
  <c r="F75" i="3"/>
  <c r="N75" i="3"/>
  <c r="O75" i="3"/>
  <c r="P75" i="3" s="1"/>
  <c r="Q75" i="3"/>
  <c r="R75" i="3"/>
  <c r="AB75" i="3"/>
  <c r="AC75" i="3"/>
  <c r="AD75" i="3"/>
  <c r="AE75" i="3"/>
  <c r="AI75" i="3"/>
  <c r="AJ75" i="3"/>
  <c r="AX75" i="3"/>
  <c r="AY75" i="3"/>
  <c r="AZ75" i="3"/>
  <c r="BA75" i="3"/>
  <c r="C76" i="3"/>
  <c r="D76" i="3"/>
  <c r="E76" i="3" s="1"/>
  <c r="F76" i="3"/>
  <c r="N76" i="3"/>
  <c r="O76" i="3"/>
  <c r="Q76" i="3"/>
  <c r="R76" i="3"/>
  <c r="AB76" i="3"/>
  <c r="AC76" i="3"/>
  <c r="AD76" i="3"/>
  <c r="AE76" i="3"/>
  <c r="AI76" i="3"/>
  <c r="AJ76" i="3"/>
  <c r="AX76" i="3"/>
  <c r="AY76" i="3"/>
  <c r="AZ76" i="3"/>
  <c r="BA76" i="3"/>
  <c r="C77" i="3"/>
  <c r="E77" i="3" s="1"/>
  <c r="D77" i="3"/>
  <c r="F77" i="3"/>
  <c r="N77" i="3"/>
  <c r="O77" i="3"/>
  <c r="Q77" i="3"/>
  <c r="R77" i="3"/>
  <c r="AB77" i="3"/>
  <c r="AC77" i="3"/>
  <c r="AD77" i="3"/>
  <c r="AE77" i="3"/>
  <c r="AI77" i="3"/>
  <c r="AJ77" i="3"/>
  <c r="AX77" i="3"/>
  <c r="AY77" i="3"/>
  <c r="AZ77" i="3"/>
  <c r="BA77" i="3"/>
  <c r="C78" i="3"/>
  <c r="D78" i="3"/>
  <c r="F78" i="3"/>
  <c r="N78" i="3"/>
  <c r="O78" i="3"/>
  <c r="Q78" i="3"/>
  <c r="R78" i="3"/>
  <c r="AB78" i="3"/>
  <c r="AC78" i="3"/>
  <c r="AD78" i="3"/>
  <c r="AE78" i="3"/>
  <c r="AI78" i="3"/>
  <c r="AJ78" i="3"/>
  <c r="AX78" i="3"/>
  <c r="AY78" i="3"/>
  <c r="AZ78" i="3"/>
  <c r="BA78" i="3"/>
  <c r="C79" i="3"/>
  <c r="D79" i="3"/>
  <c r="F79" i="3"/>
  <c r="N79" i="3"/>
  <c r="O79" i="3"/>
  <c r="P79" i="3"/>
  <c r="Q79" i="3"/>
  <c r="R79" i="3"/>
  <c r="AB79" i="3"/>
  <c r="AC79" i="3"/>
  <c r="AD79" i="3"/>
  <c r="AE79" i="3"/>
  <c r="AI79" i="3"/>
  <c r="AJ79" i="3"/>
  <c r="AX79" i="3"/>
  <c r="AY79" i="3"/>
  <c r="AZ79" i="3"/>
  <c r="BA79" i="3"/>
  <c r="C80" i="3"/>
  <c r="D80" i="3"/>
  <c r="E80" i="3"/>
  <c r="F80" i="3"/>
  <c r="N80" i="3"/>
  <c r="O80" i="3"/>
  <c r="Q80" i="3"/>
  <c r="R80" i="3"/>
  <c r="AB80" i="3"/>
  <c r="AC80" i="3"/>
  <c r="AD80" i="3"/>
  <c r="AE80" i="3"/>
  <c r="AI80" i="3"/>
  <c r="AJ80" i="3"/>
  <c r="AX80" i="3"/>
  <c r="AY80" i="3"/>
  <c r="AZ80" i="3"/>
  <c r="BA80" i="3"/>
  <c r="C81" i="3"/>
  <c r="E81" i="3" s="1"/>
  <c r="D81" i="3"/>
  <c r="F81" i="3"/>
  <c r="N81" i="3"/>
  <c r="O81" i="3"/>
  <c r="Q81" i="3"/>
  <c r="R81" i="3"/>
  <c r="AB81" i="3"/>
  <c r="AC81" i="3"/>
  <c r="AD81" i="3"/>
  <c r="AE81" i="3"/>
  <c r="AI81" i="3"/>
  <c r="AJ81" i="3"/>
  <c r="AX81" i="3"/>
  <c r="AY81" i="3"/>
  <c r="AZ81" i="3"/>
  <c r="BA81" i="3"/>
  <c r="C82" i="3"/>
  <c r="D82" i="3"/>
  <c r="F82" i="3"/>
  <c r="N82" i="3"/>
  <c r="O82" i="3"/>
  <c r="Q82" i="3"/>
  <c r="R82" i="3"/>
  <c r="AB82" i="3"/>
  <c r="AC82" i="3"/>
  <c r="AD82" i="3"/>
  <c r="AE82" i="3"/>
  <c r="AI82" i="3"/>
  <c r="AJ82" i="3"/>
  <c r="AX82" i="3"/>
  <c r="AY82" i="3"/>
  <c r="AZ82" i="3"/>
  <c r="BA82" i="3"/>
  <c r="C83" i="3"/>
  <c r="D83" i="3"/>
  <c r="F83" i="3"/>
  <c r="N83" i="3"/>
  <c r="O83" i="3"/>
  <c r="G83" i="3" s="1"/>
  <c r="Q83" i="3"/>
  <c r="R83" i="3"/>
  <c r="AB83" i="3"/>
  <c r="AC83" i="3"/>
  <c r="AD83" i="3"/>
  <c r="AE83" i="3"/>
  <c r="AI83" i="3"/>
  <c r="AJ83" i="3"/>
  <c r="AX83" i="3"/>
  <c r="AY83" i="3"/>
  <c r="AZ83" i="3"/>
  <c r="BA83" i="3"/>
  <c r="C84" i="3"/>
  <c r="E84" i="3" s="1"/>
  <c r="D84" i="3"/>
  <c r="F84" i="3"/>
  <c r="N84" i="3"/>
  <c r="O84" i="3"/>
  <c r="Q84" i="3"/>
  <c r="R84" i="3"/>
  <c r="AB84" i="3"/>
  <c r="AC84" i="3"/>
  <c r="AD84" i="3"/>
  <c r="AE84" i="3"/>
  <c r="AI84" i="3"/>
  <c r="AJ84" i="3"/>
  <c r="AX84" i="3"/>
  <c r="AY84" i="3"/>
  <c r="AZ84" i="3"/>
  <c r="BA84" i="3"/>
  <c r="C85" i="3"/>
  <c r="D85" i="3"/>
  <c r="F85" i="3"/>
  <c r="N85" i="3"/>
  <c r="O85" i="3"/>
  <c r="Q85" i="3"/>
  <c r="R85" i="3"/>
  <c r="AB85" i="3"/>
  <c r="AC85" i="3"/>
  <c r="AD85" i="3"/>
  <c r="AE85" i="3"/>
  <c r="AI85" i="3"/>
  <c r="AJ85" i="3"/>
  <c r="AX85" i="3"/>
  <c r="AY85" i="3"/>
  <c r="AZ85" i="3"/>
  <c r="BA85" i="3"/>
  <c r="C86" i="3"/>
  <c r="D86" i="3"/>
  <c r="F86" i="3"/>
  <c r="N86" i="3"/>
  <c r="O86" i="3"/>
  <c r="Q86" i="3"/>
  <c r="R86" i="3"/>
  <c r="AB86" i="3"/>
  <c r="AC86" i="3"/>
  <c r="AD86" i="3"/>
  <c r="AE86" i="3"/>
  <c r="AI86" i="3"/>
  <c r="AJ86" i="3"/>
  <c r="AX86" i="3"/>
  <c r="AY86" i="3"/>
  <c r="AZ86" i="3"/>
  <c r="BA86" i="3"/>
  <c r="C87" i="3"/>
  <c r="D87" i="3"/>
  <c r="F87" i="3"/>
  <c r="N87" i="3"/>
  <c r="O87" i="3"/>
  <c r="Q87" i="3"/>
  <c r="R87" i="3"/>
  <c r="AB87" i="3"/>
  <c r="AC87" i="3"/>
  <c r="AD87" i="3"/>
  <c r="AE87" i="3"/>
  <c r="AI87" i="3"/>
  <c r="AJ87" i="3"/>
  <c r="AX87" i="3"/>
  <c r="AY87" i="3"/>
  <c r="AZ87" i="3"/>
  <c r="BA87" i="3"/>
  <c r="C88" i="3"/>
  <c r="E88" i="3" s="1"/>
  <c r="D88" i="3"/>
  <c r="F88" i="3"/>
  <c r="N88" i="3"/>
  <c r="O88" i="3"/>
  <c r="P88" i="3"/>
  <c r="Q88" i="3"/>
  <c r="R88" i="3"/>
  <c r="AB88" i="3"/>
  <c r="AC88" i="3"/>
  <c r="AD88" i="3"/>
  <c r="AE88" i="3"/>
  <c r="AI88" i="3"/>
  <c r="AJ88" i="3"/>
  <c r="AX88" i="3"/>
  <c r="AY88" i="3"/>
  <c r="AZ88" i="3"/>
  <c r="BA88" i="3"/>
  <c r="C89" i="3"/>
  <c r="E89" i="3" s="1"/>
  <c r="D89" i="3"/>
  <c r="F89" i="3"/>
  <c r="N89" i="3"/>
  <c r="O89" i="3"/>
  <c r="Q89" i="3"/>
  <c r="R89" i="3"/>
  <c r="AB89" i="3"/>
  <c r="AC89" i="3"/>
  <c r="AD89" i="3"/>
  <c r="AE89" i="3"/>
  <c r="AI89" i="3"/>
  <c r="AJ89" i="3"/>
  <c r="AX89" i="3"/>
  <c r="AY89" i="3"/>
  <c r="AZ89" i="3"/>
  <c r="BA89" i="3"/>
  <c r="C90" i="3"/>
  <c r="D90" i="3"/>
  <c r="E90" i="3" s="1"/>
  <c r="F90" i="3"/>
  <c r="N90" i="3"/>
  <c r="O90" i="3"/>
  <c r="Q90" i="3"/>
  <c r="R90" i="3"/>
  <c r="AB90" i="3"/>
  <c r="AC90" i="3"/>
  <c r="AD90" i="3"/>
  <c r="AE90" i="3"/>
  <c r="AI90" i="3"/>
  <c r="AJ90" i="3"/>
  <c r="AX90" i="3"/>
  <c r="AY90" i="3"/>
  <c r="AZ90" i="3"/>
  <c r="BA90" i="3"/>
  <c r="C91" i="3"/>
  <c r="D91" i="3"/>
  <c r="E91" i="3" s="1"/>
  <c r="F91" i="3"/>
  <c r="N91" i="3"/>
  <c r="O91" i="3"/>
  <c r="G91" i="3" s="1"/>
  <c r="Q91" i="3"/>
  <c r="R91" i="3"/>
  <c r="AB91" i="3"/>
  <c r="AC91" i="3"/>
  <c r="AD91" i="3"/>
  <c r="AE91" i="3"/>
  <c r="AI91" i="3"/>
  <c r="AJ91" i="3"/>
  <c r="AX91" i="3"/>
  <c r="AY91" i="3"/>
  <c r="AZ91" i="3"/>
  <c r="BA91" i="3"/>
  <c r="C92" i="3"/>
  <c r="D92" i="3"/>
  <c r="F92" i="3"/>
  <c r="N92" i="3"/>
  <c r="O92" i="3"/>
  <c r="G92" i="3" s="1"/>
  <c r="Q92" i="3"/>
  <c r="R92" i="3"/>
  <c r="AB92" i="3"/>
  <c r="AC92" i="3"/>
  <c r="AD92" i="3"/>
  <c r="AE92" i="3"/>
  <c r="AI92" i="3"/>
  <c r="AJ92" i="3"/>
  <c r="AX92" i="3"/>
  <c r="AY92" i="3"/>
  <c r="AZ92" i="3"/>
  <c r="BA92" i="3"/>
  <c r="AJ2" i="3"/>
  <c r="AI2" i="3"/>
  <c r="AE2" i="3"/>
  <c r="AD2" i="3"/>
  <c r="R2" i="3"/>
  <c r="Q2" i="3"/>
  <c r="O2" i="3"/>
  <c r="N2" i="3"/>
  <c r="F2" i="3"/>
  <c r="D2" i="3"/>
  <c r="C2" i="3"/>
  <c r="N80" i="2"/>
  <c r="O80" i="2"/>
  <c r="N95" i="2"/>
  <c r="O95" i="2"/>
  <c r="N43" i="2"/>
  <c r="O43" i="2"/>
  <c r="N9" i="2"/>
  <c r="O9" i="2"/>
  <c r="N6" i="2"/>
  <c r="O6" i="2"/>
  <c r="N91" i="2"/>
  <c r="O91" i="2"/>
  <c r="N78" i="2"/>
  <c r="O78" i="2"/>
  <c r="N79" i="2"/>
  <c r="O79" i="2"/>
  <c r="N36" i="2"/>
  <c r="O36" i="2"/>
  <c r="N60" i="2"/>
  <c r="O60" i="2"/>
  <c r="N76" i="2"/>
  <c r="O76" i="2"/>
  <c r="N90" i="2"/>
  <c r="O90" i="2"/>
  <c r="N74" i="2"/>
  <c r="O74" i="2"/>
  <c r="N63" i="2"/>
  <c r="O63" i="2"/>
  <c r="N2" i="2"/>
  <c r="O2" i="2"/>
  <c r="N47" i="2"/>
  <c r="O47" i="2"/>
  <c r="N54" i="2"/>
  <c r="O54" i="2"/>
  <c r="N28" i="2"/>
  <c r="O28" i="2"/>
  <c r="N71" i="2"/>
  <c r="O71" i="2"/>
  <c r="N11" i="2"/>
  <c r="O11" i="2"/>
  <c r="N10" i="2"/>
  <c r="O10" i="2"/>
  <c r="N12" i="2"/>
  <c r="O12" i="2"/>
  <c r="N19" i="2"/>
  <c r="O19" i="2"/>
  <c r="N37" i="2"/>
  <c r="O37" i="2"/>
  <c r="N24" i="2"/>
  <c r="O24" i="2"/>
  <c r="N31" i="2"/>
  <c r="O31" i="2"/>
  <c r="N86" i="2"/>
  <c r="O86" i="2"/>
  <c r="N82" i="2"/>
  <c r="O82" i="2"/>
  <c r="N4" i="2"/>
  <c r="O4" i="2"/>
  <c r="N40" i="2"/>
  <c r="O40" i="2"/>
  <c r="N17" i="2"/>
  <c r="O17" i="2"/>
  <c r="N52" i="2"/>
  <c r="O52" i="2"/>
  <c r="N55" i="2"/>
  <c r="O55" i="2"/>
  <c r="N72" i="2"/>
  <c r="O72" i="2"/>
  <c r="N14" i="2"/>
  <c r="O14" i="2"/>
  <c r="N41" i="2"/>
  <c r="O41" i="2"/>
  <c r="N22" i="2"/>
  <c r="O22" i="2"/>
  <c r="N84" i="2"/>
  <c r="O84" i="2"/>
  <c r="N69" i="2"/>
  <c r="O69" i="2"/>
  <c r="N8" i="2"/>
  <c r="O8" i="2"/>
  <c r="N48" i="2"/>
  <c r="O48" i="2"/>
  <c r="N57" i="2"/>
  <c r="O57" i="2"/>
  <c r="N44" i="2"/>
  <c r="O44" i="2"/>
  <c r="N83" i="2"/>
  <c r="O83" i="2"/>
  <c r="N87" i="2"/>
  <c r="O87" i="2"/>
  <c r="N20" i="2"/>
  <c r="O20" i="2"/>
  <c r="N93" i="2"/>
  <c r="O93" i="2"/>
  <c r="N50" i="2"/>
  <c r="O50" i="2"/>
  <c r="N29" i="2"/>
  <c r="O29" i="2"/>
  <c r="N97" i="2"/>
  <c r="O97" i="2"/>
  <c r="N15" i="2"/>
  <c r="O15" i="2"/>
  <c r="N61" i="2"/>
  <c r="O61" i="2"/>
  <c r="N64" i="2"/>
  <c r="O64" i="2"/>
  <c r="N53" i="2"/>
  <c r="O53" i="2"/>
  <c r="N96" i="2"/>
  <c r="O96" i="2"/>
  <c r="N32" i="2"/>
  <c r="O32" i="2"/>
  <c r="N75" i="2"/>
  <c r="O75" i="2"/>
  <c r="N49" i="2"/>
  <c r="O49" i="2"/>
  <c r="N94" i="2"/>
  <c r="O94" i="2"/>
  <c r="N25" i="2"/>
  <c r="O25" i="2"/>
  <c r="N59" i="2"/>
  <c r="O59" i="2"/>
  <c r="N5" i="2"/>
  <c r="O5" i="2"/>
  <c r="N21" i="2"/>
  <c r="O21" i="2"/>
  <c r="N89" i="2"/>
  <c r="O89" i="2"/>
  <c r="N65" i="2"/>
  <c r="O65" i="2"/>
  <c r="N81" i="2"/>
  <c r="O81" i="2"/>
  <c r="N66" i="2"/>
  <c r="O66" i="2"/>
  <c r="N18" i="2"/>
  <c r="O18" i="2"/>
  <c r="N45" i="2"/>
  <c r="O45" i="2"/>
  <c r="N30" i="2"/>
  <c r="O30" i="2"/>
  <c r="N35" i="2"/>
  <c r="O35" i="2"/>
  <c r="N58" i="2"/>
  <c r="O58" i="2"/>
  <c r="N13" i="2"/>
  <c r="O13" i="2"/>
  <c r="N68" i="2"/>
  <c r="O68" i="2"/>
  <c r="N88" i="2"/>
  <c r="O88" i="2"/>
  <c r="N92" i="2"/>
  <c r="O92" i="2"/>
  <c r="N33" i="2"/>
  <c r="O33" i="2"/>
  <c r="N73" i="2"/>
  <c r="O73" i="2"/>
  <c r="N42" i="2"/>
  <c r="O42" i="2"/>
  <c r="N67" i="2"/>
  <c r="O67" i="2"/>
  <c r="N85" i="2"/>
  <c r="O85" i="2"/>
  <c r="N56" i="2"/>
  <c r="O56" i="2"/>
  <c r="N46" i="2"/>
  <c r="O46" i="2"/>
  <c r="N7" i="2"/>
  <c r="O7" i="2"/>
  <c r="N16" i="2"/>
  <c r="O16" i="2"/>
  <c r="N26" i="2"/>
  <c r="O26" i="2"/>
  <c r="N62" i="2"/>
  <c r="O62" i="2"/>
  <c r="N77" i="2"/>
  <c r="O77" i="2"/>
  <c r="N3" i="2"/>
  <c r="O3" i="2"/>
  <c r="N23" i="2"/>
  <c r="O23" i="2"/>
  <c r="N39" i="2"/>
  <c r="O39" i="2"/>
  <c r="N38" i="2"/>
  <c r="O38" i="2"/>
  <c r="N27" i="2"/>
  <c r="O27" i="2"/>
  <c r="N34" i="2"/>
  <c r="O34" i="2"/>
  <c r="N51" i="2"/>
  <c r="O51" i="2"/>
  <c r="G70" i="2"/>
  <c r="G80" i="2"/>
  <c r="G95" i="2"/>
  <c r="G43" i="2"/>
  <c r="G9" i="2"/>
  <c r="G6" i="2"/>
  <c r="G91" i="2"/>
  <c r="G78" i="2"/>
  <c r="G79" i="2"/>
  <c r="G36" i="2"/>
  <c r="G60" i="2"/>
  <c r="G76" i="2"/>
  <c r="G90" i="2"/>
  <c r="G74" i="2"/>
  <c r="G63" i="2"/>
  <c r="G2" i="2"/>
  <c r="G47" i="2"/>
  <c r="G54" i="2"/>
  <c r="G28" i="2"/>
  <c r="G71" i="2"/>
  <c r="G11" i="2"/>
  <c r="G10" i="2"/>
  <c r="G12" i="2"/>
  <c r="G19" i="2"/>
  <c r="G37" i="2"/>
  <c r="G24" i="2"/>
  <c r="G31" i="2"/>
  <c r="G86" i="2"/>
  <c r="G82" i="2"/>
  <c r="G4" i="2"/>
  <c r="G40" i="2"/>
  <c r="G17" i="2"/>
  <c r="G52" i="2"/>
  <c r="G55" i="2"/>
  <c r="G72" i="2"/>
  <c r="G14" i="2"/>
  <c r="G41" i="2"/>
  <c r="G22" i="2"/>
  <c r="G84" i="2"/>
  <c r="G69" i="2"/>
  <c r="G8" i="2"/>
  <c r="G48" i="2"/>
  <c r="G57" i="2"/>
  <c r="G44" i="2"/>
  <c r="G83" i="2"/>
  <c r="G87" i="2"/>
  <c r="G20" i="2"/>
  <c r="G93" i="2"/>
  <c r="G50" i="2"/>
  <c r="G29" i="2"/>
  <c r="G97" i="2"/>
  <c r="G15" i="2"/>
  <c r="G61" i="2"/>
  <c r="G64" i="2"/>
  <c r="G53" i="2"/>
  <c r="G96" i="2"/>
  <c r="G32" i="2"/>
  <c r="G75" i="2"/>
  <c r="G49" i="2"/>
  <c r="G94" i="2"/>
  <c r="G25" i="2"/>
  <c r="G59" i="2"/>
  <c r="G5" i="2"/>
  <c r="G21" i="2"/>
  <c r="G89" i="2"/>
  <c r="G65" i="2"/>
  <c r="G81" i="2"/>
  <c r="G66" i="2"/>
  <c r="G18" i="2"/>
  <c r="G45" i="2"/>
  <c r="G30" i="2"/>
  <c r="G35" i="2"/>
  <c r="G58" i="2"/>
  <c r="G13" i="2"/>
  <c r="G68" i="2"/>
  <c r="G88" i="2"/>
  <c r="G92" i="2"/>
  <c r="G33" i="2"/>
  <c r="G73" i="2"/>
  <c r="G42" i="2"/>
  <c r="G67" i="2"/>
  <c r="G85" i="2"/>
  <c r="G56" i="2"/>
  <c r="G46" i="2"/>
  <c r="G7" i="2"/>
  <c r="G16" i="2"/>
  <c r="G26" i="2"/>
  <c r="G62" i="2"/>
  <c r="G77" i="2"/>
  <c r="G3" i="2"/>
  <c r="G23" i="2"/>
  <c r="G39" i="2"/>
  <c r="G38" i="2"/>
  <c r="G27" i="2"/>
  <c r="G34" i="2"/>
  <c r="G51" i="2"/>
  <c r="G88" i="3" l="1"/>
  <c r="G80" i="3"/>
  <c r="K79" i="3"/>
  <c r="P77" i="3"/>
  <c r="G77" i="3"/>
  <c r="P76" i="3"/>
  <c r="P74" i="3"/>
  <c r="G73" i="3"/>
  <c r="H70" i="3"/>
  <c r="P70" i="3"/>
  <c r="G70" i="3"/>
  <c r="P67" i="3"/>
  <c r="G67" i="3"/>
  <c r="K66" i="3"/>
  <c r="P61" i="3"/>
  <c r="S60" i="3"/>
  <c r="G59" i="3"/>
  <c r="S58" i="3"/>
  <c r="G54" i="3"/>
  <c r="P53" i="3"/>
  <c r="P50" i="3"/>
  <c r="P47" i="3"/>
  <c r="S45" i="3"/>
  <c r="G45" i="3"/>
  <c r="P43" i="3"/>
  <c r="G43" i="3"/>
  <c r="S42" i="3"/>
  <c r="G41" i="3"/>
  <c r="G36" i="3"/>
  <c r="P35" i="3"/>
  <c r="S34" i="3"/>
  <c r="S29" i="3"/>
  <c r="P28" i="3"/>
  <c r="P27" i="3"/>
  <c r="G27" i="3"/>
  <c r="G25" i="3"/>
  <c r="G23" i="3"/>
  <c r="P19" i="3"/>
  <c r="G19" i="3"/>
  <c r="G16" i="3"/>
  <c r="P15" i="3"/>
  <c r="P13" i="3"/>
  <c r="G12" i="3"/>
  <c r="S10" i="3"/>
  <c r="L10" i="3" s="1"/>
  <c r="P10" i="3"/>
  <c r="G9" i="3"/>
  <c r="P8" i="3"/>
  <c r="G8" i="3"/>
  <c r="G7" i="3"/>
  <c r="P5" i="3"/>
  <c r="G5" i="3"/>
  <c r="P3" i="3"/>
  <c r="G3" i="3"/>
  <c r="R103" i="3"/>
  <c r="AD103" i="3"/>
  <c r="Q103" i="3"/>
  <c r="AD101" i="3"/>
  <c r="R101" i="3"/>
  <c r="Q101" i="3"/>
  <c r="K45" i="3"/>
  <c r="H28" i="3"/>
  <c r="H26" i="3"/>
  <c r="S17" i="3"/>
  <c r="S9" i="3"/>
  <c r="Q100" i="3"/>
  <c r="Q102" i="3"/>
  <c r="S66" i="3"/>
  <c r="H46" i="3"/>
  <c r="S86" i="3"/>
  <c r="L86" i="3" s="1"/>
  <c r="AD100" i="3"/>
  <c r="R100" i="3"/>
  <c r="AD102" i="3"/>
  <c r="R102" i="3"/>
  <c r="S52" i="3"/>
  <c r="S26" i="3"/>
  <c r="L26" i="3" s="1"/>
  <c r="S13" i="3"/>
  <c r="AJ100" i="3"/>
  <c r="AJ102" i="3"/>
  <c r="H74" i="3"/>
  <c r="AJ103" i="3"/>
  <c r="AI103" i="3"/>
  <c r="AJ101" i="3"/>
  <c r="AE103" i="3"/>
  <c r="AI101" i="3"/>
  <c r="K21" i="3"/>
  <c r="AE101" i="3"/>
  <c r="H50" i="3"/>
  <c r="AE100" i="3"/>
  <c r="AE102" i="3"/>
  <c r="AI100" i="3"/>
  <c r="AI102" i="3"/>
  <c r="K88" i="3"/>
  <c r="O102" i="2"/>
  <c r="N102" i="2"/>
  <c r="O101" i="2"/>
  <c r="N101" i="2"/>
  <c r="H84" i="3"/>
  <c r="H88" i="3"/>
  <c r="P87" i="3"/>
  <c r="K13" i="3"/>
  <c r="G6" i="3"/>
  <c r="G58" i="3"/>
  <c r="H6" i="3"/>
  <c r="P66" i="3"/>
  <c r="P80" i="3"/>
  <c r="E78" i="3"/>
  <c r="G76" i="3"/>
  <c r="G71" i="3"/>
  <c r="E67" i="3"/>
  <c r="G53" i="3"/>
  <c r="G49" i="3"/>
  <c r="P48" i="3"/>
  <c r="P44" i="3"/>
  <c r="P39" i="3"/>
  <c r="K38" i="3"/>
  <c r="G35" i="3"/>
  <c r="S27" i="3"/>
  <c r="L27" i="3" s="1"/>
  <c r="E26" i="3"/>
  <c r="G24" i="3"/>
  <c r="H22" i="3"/>
  <c r="G15" i="3"/>
  <c r="E7" i="3"/>
  <c r="G44" i="3"/>
  <c r="E35" i="3"/>
  <c r="E24" i="3"/>
  <c r="H83" i="3"/>
  <c r="H54" i="3"/>
  <c r="E53" i="3"/>
  <c r="K52" i="3"/>
  <c r="E49" i="3"/>
  <c r="H73" i="3"/>
  <c r="P69" i="3"/>
  <c r="L58" i="3"/>
  <c r="AQ58" i="3" s="1"/>
  <c r="P51" i="3"/>
  <c r="E48" i="3"/>
  <c r="P46" i="3"/>
  <c r="P38" i="3"/>
  <c r="H36" i="3"/>
  <c r="P32" i="3"/>
  <c r="E29" i="3"/>
  <c r="S21" i="3"/>
  <c r="I21" i="3" s="1"/>
  <c r="P18" i="3"/>
  <c r="H16" i="3"/>
  <c r="K15" i="3"/>
  <c r="P11" i="3"/>
  <c r="G84" i="3"/>
  <c r="P83" i="3"/>
  <c r="K76" i="3"/>
  <c r="G69" i="3"/>
  <c r="P68" i="3"/>
  <c r="H67" i="3"/>
  <c r="E61" i="3"/>
  <c r="K58" i="3"/>
  <c r="G55" i="3"/>
  <c r="G51" i="3"/>
  <c r="G32" i="3"/>
  <c r="S30" i="3"/>
  <c r="L30" i="3" s="1"/>
  <c r="AP30" i="3" s="1"/>
  <c r="E28" i="3"/>
  <c r="E23" i="3"/>
  <c r="E9" i="3"/>
  <c r="S6" i="3"/>
  <c r="E87" i="3"/>
  <c r="G85" i="3"/>
  <c r="P78" i="3"/>
  <c r="K75" i="3"/>
  <c r="P73" i="3"/>
  <c r="G72" i="3"/>
  <c r="P62" i="3"/>
  <c r="E60" i="3"/>
  <c r="H57" i="3"/>
  <c r="E55" i="3"/>
  <c r="G50" i="3"/>
  <c r="P41" i="3"/>
  <c r="G37" i="3"/>
  <c r="L34" i="3"/>
  <c r="E33" i="3"/>
  <c r="P31" i="3"/>
  <c r="P30" i="3"/>
  <c r="K29" i="3"/>
  <c r="E27" i="3"/>
  <c r="K23" i="3"/>
  <c r="G17" i="3"/>
  <c r="E12" i="3"/>
  <c r="P6" i="3"/>
  <c r="E62" i="3"/>
  <c r="H80" i="3"/>
  <c r="S37" i="3"/>
  <c r="E31" i="3"/>
  <c r="S87" i="3"/>
  <c r="L87" i="3" s="1"/>
  <c r="K46" i="3"/>
  <c r="K59" i="3"/>
  <c r="H59" i="3"/>
  <c r="H68" i="3"/>
  <c r="S68" i="3"/>
  <c r="L37" i="3"/>
  <c r="AQ37" i="3" s="1"/>
  <c r="K37" i="3"/>
  <c r="K87" i="3"/>
  <c r="H87" i="3"/>
  <c r="K68" i="3"/>
  <c r="H81" i="3"/>
  <c r="H78" i="3"/>
  <c r="S78" i="3"/>
  <c r="L78" i="3" s="1"/>
  <c r="AP78" i="3" s="1"/>
  <c r="L42" i="3"/>
  <c r="AP42" i="3" s="1"/>
  <c r="L17" i="3"/>
  <c r="AQ17" i="3" s="1"/>
  <c r="P91" i="3"/>
  <c r="P86" i="3"/>
  <c r="K80" i="3"/>
  <c r="E79" i="3"/>
  <c r="K77" i="3"/>
  <c r="H75" i="3"/>
  <c r="K73" i="3"/>
  <c r="E73" i="3"/>
  <c r="P72" i="3"/>
  <c r="K71" i="3"/>
  <c r="E69" i="3"/>
  <c r="E64" i="3"/>
  <c r="P63" i="3"/>
  <c r="E57" i="3"/>
  <c r="P56" i="3"/>
  <c r="P52" i="3"/>
  <c r="K51" i="3"/>
  <c r="S46" i="3"/>
  <c r="L46" i="3" s="1"/>
  <c r="AQ46" i="3" s="1"/>
  <c r="E41" i="3"/>
  <c r="P40" i="3"/>
  <c r="K33" i="3"/>
  <c r="K31" i="3"/>
  <c r="H23" i="3"/>
  <c r="L22" i="3"/>
  <c r="AP22" i="3" s="1"/>
  <c r="S18" i="3"/>
  <c r="L18" i="3" s="1"/>
  <c r="H15" i="3"/>
  <c r="K7" i="3"/>
  <c r="E5" i="3"/>
  <c r="P4" i="3"/>
  <c r="K3" i="3"/>
  <c r="K90" i="3"/>
  <c r="G63" i="3"/>
  <c r="H62" i="3"/>
  <c r="K41" i="3"/>
  <c r="G40" i="3"/>
  <c r="K39" i="3"/>
  <c r="I38" i="3"/>
  <c r="AN38" i="3" s="1"/>
  <c r="E38" i="3"/>
  <c r="H33" i="3"/>
  <c r="H31" i="3"/>
  <c r="G11" i="3"/>
  <c r="H7" i="3"/>
  <c r="G4" i="3"/>
  <c r="S3" i="3"/>
  <c r="S90" i="3"/>
  <c r="K85" i="3"/>
  <c r="G90" i="3"/>
  <c r="S82" i="3"/>
  <c r="L82" i="3" s="1"/>
  <c r="G78" i="3"/>
  <c r="S77" i="3"/>
  <c r="L77" i="3" s="1"/>
  <c r="AQ77" i="3" s="1"/>
  <c r="AW77" i="3" s="1"/>
  <c r="K74" i="3"/>
  <c r="L66" i="3"/>
  <c r="AQ66" i="3" s="1"/>
  <c r="E66" i="3"/>
  <c r="P65" i="3"/>
  <c r="G61" i="3"/>
  <c r="L60" i="3"/>
  <c r="AP60" i="3" s="1"/>
  <c r="K57" i="3"/>
  <c r="K54" i="3"/>
  <c r="G52" i="3"/>
  <c r="G48" i="3"/>
  <c r="K47" i="3"/>
  <c r="E46" i="3"/>
  <c r="H41" i="3"/>
  <c r="H39" i="3"/>
  <c r="P37" i="3"/>
  <c r="G28" i="3"/>
  <c r="K25" i="3"/>
  <c r="E21" i="3"/>
  <c r="P20" i="3"/>
  <c r="I18" i="3"/>
  <c r="AN18" i="3" s="1"/>
  <c r="K17" i="3"/>
  <c r="K5" i="3"/>
  <c r="G86" i="3"/>
  <c r="K82" i="3"/>
  <c r="H89" i="3"/>
  <c r="E86" i="3"/>
  <c r="P85" i="3"/>
  <c r="K84" i="3"/>
  <c r="E83" i="3"/>
  <c r="G82" i="3"/>
  <c r="E72" i="3"/>
  <c r="P71" i="3"/>
  <c r="K67" i="3"/>
  <c r="H66" i="3"/>
  <c r="G65" i="3"/>
  <c r="H60" i="3"/>
  <c r="E56" i="3"/>
  <c r="P55" i="3"/>
  <c r="E52" i="3"/>
  <c r="K50" i="3"/>
  <c r="H47" i="3"/>
  <c r="P45" i="3"/>
  <c r="G38" i="3"/>
  <c r="K36" i="3"/>
  <c r="E34" i="3"/>
  <c r="P33" i="3"/>
  <c r="G31" i="3"/>
  <c r="K27" i="3"/>
  <c r="I26" i="3"/>
  <c r="AN26" i="3" s="1"/>
  <c r="K22" i="3"/>
  <c r="H21" i="3"/>
  <c r="G20" i="3"/>
  <c r="K19" i="3"/>
  <c r="H14" i="3"/>
  <c r="E13" i="3"/>
  <c r="P12" i="3"/>
  <c r="I10" i="3"/>
  <c r="K9" i="3"/>
  <c r="H5" i="3"/>
  <c r="E4" i="3"/>
  <c r="K44" i="3"/>
  <c r="H30" i="3"/>
  <c r="G29" i="3"/>
  <c r="G18" i="3"/>
  <c r="K14" i="3"/>
  <c r="H13" i="3"/>
  <c r="P92" i="3"/>
  <c r="H79" i="3"/>
  <c r="AT79" i="3" s="1"/>
  <c r="H76" i="3"/>
  <c r="G74" i="3"/>
  <c r="G66" i="3"/>
  <c r="E65" i="3"/>
  <c r="P60" i="3"/>
  <c r="E58" i="3"/>
  <c r="P57" i="3"/>
  <c r="L52" i="3"/>
  <c r="M52" i="3" s="1"/>
  <c r="E50" i="3"/>
  <c r="P49" i="3"/>
  <c r="G47" i="3"/>
  <c r="H44" i="3"/>
  <c r="I34" i="3"/>
  <c r="G26" i="3"/>
  <c r="E22" i="3"/>
  <c r="G21" i="3"/>
  <c r="S14" i="3"/>
  <c r="I14" i="3" s="1"/>
  <c r="I13" i="3"/>
  <c r="AN13" i="3" s="1"/>
  <c r="G10" i="3"/>
  <c r="K6" i="3"/>
  <c r="K4" i="3"/>
  <c r="G60" i="3"/>
  <c r="K91" i="3"/>
  <c r="G89" i="3"/>
  <c r="G87" i="3"/>
  <c r="H91" i="3"/>
  <c r="H86" i="3"/>
  <c r="E85" i="3"/>
  <c r="P84" i="3"/>
  <c r="K83" i="3"/>
  <c r="E82" i="3"/>
  <c r="G81" i="3"/>
  <c r="S79" i="3"/>
  <c r="L79" i="3" s="1"/>
  <c r="G79" i="3"/>
  <c r="L68" i="3"/>
  <c r="H65" i="3"/>
  <c r="K60" i="3"/>
  <c r="E59" i="3"/>
  <c r="H58" i="3"/>
  <c r="G57" i="3"/>
  <c r="H52" i="3"/>
  <c r="E43" i="3"/>
  <c r="I42" i="3"/>
  <c r="AN42" i="3" s="1"/>
  <c r="H38" i="3"/>
  <c r="J38" i="3" s="1"/>
  <c r="E37" i="3"/>
  <c r="P36" i="3"/>
  <c r="G34" i="3"/>
  <c r="S25" i="3"/>
  <c r="I25" i="3" s="1"/>
  <c r="E25" i="3"/>
  <c r="P24" i="3"/>
  <c r="I22" i="3"/>
  <c r="AN22" i="3" s="1"/>
  <c r="P21" i="3"/>
  <c r="E17" i="3"/>
  <c r="P16" i="3"/>
  <c r="E14" i="3"/>
  <c r="G13" i="3"/>
  <c r="L6" i="3"/>
  <c r="AP6" i="3" s="1"/>
  <c r="AV6" i="3" s="1"/>
  <c r="H4" i="3"/>
  <c r="E92" i="3"/>
  <c r="K92" i="3"/>
  <c r="H92" i="3"/>
  <c r="AQ78" i="3"/>
  <c r="S92" i="3"/>
  <c r="L92" i="3" s="1"/>
  <c r="I90" i="3"/>
  <c r="H85" i="3"/>
  <c r="S84" i="3"/>
  <c r="L84" i="3" s="1"/>
  <c r="I82" i="3"/>
  <c r="H77" i="3"/>
  <c r="S76" i="3"/>
  <c r="L76" i="3" s="1"/>
  <c r="K65" i="3"/>
  <c r="K61" i="3"/>
  <c r="S61" i="3"/>
  <c r="L61" i="3" s="1"/>
  <c r="H61" i="3"/>
  <c r="K55" i="3"/>
  <c r="H10" i="3"/>
  <c r="K10" i="3"/>
  <c r="M10" i="3" s="1"/>
  <c r="G75" i="3"/>
  <c r="P90" i="3"/>
  <c r="H90" i="3"/>
  <c r="S89" i="3"/>
  <c r="I89" i="3" s="1"/>
  <c r="K89" i="3"/>
  <c r="P82" i="3"/>
  <c r="H82" i="3"/>
  <c r="S81" i="3"/>
  <c r="I81" i="3" s="1"/>
  <c r="K81" i="3"/>
  <c r="K72" i="3"/>
  <c r="S72" i="3"/>
  <c r="L72" i="3" s="1"/>
  <c r="H72" i="3"/>
  <c r="M66" i="3"/>
  <c r="AP66" i="3"/>
  <c r="AV66" i="3" s="1"/>
  <c r="H55" i="3"/>
  <c r="K86" i="3"/>
  <c r="K78" i="3"/>
  <c r="M78" i="3" s="1"/>
  <c r="K69" i="3"/>
  <c r="AP68" i="3"/>
  <c r="AQ68" i="3"/>
  <c r="S91" i="3"/>
  <c r="I91" i="3" s="1"/>
  <c r="S83" i="3"/>
  <c r="L83" i="3" s="1"/>
  <c r="S75" i="3"/>
  <c r="L75" i="3" s="1"/>
  <c r="S69" i="3"/>
  <c r="L69" i="3" s="1"/>
  <c r="K63" i="3"/>
  <c r="H51" i="3"/>
  <c r="K32" i="3"/>
  <c r="M50" i="3"/>
  <c r="AP50" i="3"/>
  <c r="AQ50" i="3"/>
  <c r="AW50" i="3" s="1"/>
  <c r="P89" i="3"/>
  <c r="S88" i="3"/>
  <c r="L88" i="3" s="1"/>
  <c r="P81" i="3"/>
  <c r="S80" i="3"/>
  <c r="I80" i="3" s="1"/>
  <c r="S74" i="3"/>
  <c r="I74" i="3" s="1"/>
  <c r="H63" i="3"/>
  <c r="K56" i="3"/>
  <c r="S56" i="3"/>
  <c r="I56" i="3" s="1"/>
  <c r="H56" i="3"/>
  <c r="S64" i="3"/>
  <c r="I64" i="3" s="1"/>
  <c r="H64" i="3"/>
  <c r="L90" i="3"/>
  <c r="S85" i="3"/>
  <c r="L85" i="3" s="1"/>
  <c r="M58" i="3"/>
  <c r="K53" i="3"/>
  <c r="S53" i="3"/>
  <c r="I53" i="3" s="1"/>
  <c r="H53" i="3"/>
  <c r="AP46" i="3"/>
  <c r="AV46" i="3" s="1"/>
  <c r="AP37" i="3"/>
  <c r="H71" i="3"/>
  <c r="AW66" i="3"/>
  <c r="K64" i="3"/>
  <c r="AV50" i="3"/>
  <c r="AP34" i="3"/>
  <c r="AQ34" i="3"/>
  <c r="S71" i="3"/>
  <c r="L71" i="3" s="1"/>
  <c r="P64" i="3"/>
  <c r="S63" i="3"/>
  <c r="L63" i="3" s="1"/>
  <c r="S55" i="3"/>
  <c r="L55" i="3" s="1"/>
  <c r="S51" i="3"/>
  <c r="I50" i="3"/>
  <c r="L45" i="3"/>
  <c r="K40" i="3"/>
  <c r="AO38" i="3"/>
  <c r="AU38" i="3" s="1"/>
  <c r="I37" i="3"/>
  <c r="S32" i="3"/>
  <c r="L32" i="3" s="1"/>
  <c r="I66" i="3"/>
  <c r="I58" i="3"/>
  <c r="K48" i="3"/>
  <c r="I45" i="3"/>
  <c r="S40" i="3"/>
  <c r="L40" i="3" s="1"/>
  <c r="H34" i="3"/>
  <c r="J34" i="3" s="1"/>
  <c r="K34" i="3"/>
  <c r="M34" i="3" s="1"/>
  <c r="K30" i="3"/>
  <c r="S73" i="3"/>
  <c r="L73" i="3" s="1"/>
  <c r="AU69" i="3"/>
  <c r="S65" i="3"/>
  <c r="L65" i="3" s="1"/>
  <c r="S57" i="3"/>
  <c r="L57" i="3" s="1"/>
  <c r="S48" i="3"/>
  <c r="L48" i="3" s="1"/>
  <c r="H42" i="3"/>
  <c r="K42" i="3"/>
  <c r="S70" i="3"/>
  <c r="L70" i="3" s="1"/>
  <c r="K70" i="3"/>
  <c r="I68" i="3"/>
  <c r="S62" i="3"/>
  <c r="L62" i="3" s="1"/>
  <c r="K62" i="3"/>
  <c r="I60" i="3"/>
  <c r="S54" i="3"/>
  <c r="L54" i="3" s="1"/>
  <c r="I52" i="3"/>
  <c r="K49" i="3"/>
  <c r="K35" i="3"/>
  <c r="S67" i="3"/>
  <c r="I67" i="3" s="1"/>
  <c r="S59" i="3"/>
  <c r="I59" i="3" s="1"/>
  <c r="H49" i="3"/>
  <c r="K43" i="3"/>
  <c r="AN34" i="3"/>
  <c r="AO34" i="3"/>
  <c r="AP26" i="3"/>
  <c r="AQ26" i="3"/>
  <c r="K8" i="3"/>
  <c r="AO42" i="3"/>
  <c r="AT38" i="3"/>
  <c r="S35" i="3"/>
  <c r="L35" i="3" s="1"/>
  <c r="H35" i="3"/>
  <c r="S43" i="3"/>
  <c r="L43" i="3" s="1"/>
  <c r="H43" i="3"/>
  <c r="AP38" i="3"/>
  <c r="AV38" i="3" s="1"/>
  <c r="AQ38" i="3"/>
  <c r="AW38" i="3" s="1"/>
  <c r="M38" i="3"/>
  <c r="I48" i="3"/>
  <c r="I32" i="3"/>
  <c r="L29" i="3"/>
  <c r="E18" i="3"/>
  <c r="AP17" i="3"/>
  <c r="H8" i="3"/>
  <c r="H48" i="3"/>
  <c r="S47" i="3"/>
  <c r="L47" i="3" s="1"/>
  <c r="H40" i="3"/>
  <c r="S39" i="3"/>
  <c r="L39" i="3" s="1"/>
  <c r="H32" i="3"/>
  <c r="S31" i="3"/>
  <c r="L31" i="3" s="1"/>
  <c r="G30" i="3"/>
  <c r="H29" i="3"/>
  <c r="AT22" i="3"/>
  <c r="K20" i="3"/>
  <c r="S19" i="3"/>
  <c r="I19" i="3" s="1"/>
  <c r="H19" i="3"/>
  <c r="AO18" i="3"/>
  <c r="I17" i="3"/>
  <c r="K11" i="3"/>
  <c r="E10" i="3"/>
  <c r="L9" i="3"/>
  <c r="H45" i="3"/>
  <c r="S44" i="3"/>
  <c r="I44" i="3" s="1"/>
  <c r="H37" i="3"/>
  <c r="S36" i="3"/>
  <c r="L36" i="3" s="1"/>
  <c r="AT26" i="3"/>
  <c r="K26" i="3"/>
  <c r="M26" i="3" s="1"/>
  <c r="H20" i="3"/>
  <c r="K12" i="3"/>
  <c r="S11" i="3"/>
  <c r="I11" i="3" s="1"/>
  <c r="H11" i="3"/>
  <c r="AN10" i="3"/>
  <c r="AO10" i="3"/>
  <c r="J10" i="3"/>
  <c r="I9" i="3"/>
  <c r="S49" i="3"/>
  <c r="I49" i="3" s="1"/>
  <c r="P42" i="3"/>
  <c r="S41" i="3"/>
  <c r="L41" i="3" s="1"/>
  <c r="P34" i="3"/>
  <c r="S33" i="3"/>
  <c r="L33" i="3" s="1"/>
  <c r="P29" i="3"/>
  <c r="K28" i="3"/>
  <c r="H12" i="3"/>
  <c r="I33" i="3"/>
  <c r="AO26" i="3"/>
  <c r="J26" i="3"/>
  <c r="K24" i="3"/>
  <c r="AO22" i="3"/>
  <c r="H27" i="3"/>
  <c r="H24" i="3"/>
  <c r="H18" i="3"/>
  <c r="K18" i="3"/>
  <c r="K16" i="3"/>
  <c r="AP10" i="3"/>
  <c r="AQ10" i="3"/>
  <c r="P25" i="3"/>
  <c r="H25" i="3"/>
  <c r="S24" i="3"/>
  <c r="L24" i="3" s="1"/>
  <c r="P17" i="3"/>
  <c r="H17" i="3"/>
  <c r="S16" i="3"/>
  <c r="L16" i="3" s="1"/>
  <c r="L13" i="3"/>
  <c r="P9" i="3"/>
  <c r="H9" i="3"/>
  <c r="S8" i="3"/>
  <c r="L8" i="3" s="1"/>
  <c r="I6" i="3"/>
  <c r="S5" i="3"/>
  <c r="I5" i="3" s="1"/>
  <c r="I3" i="3"/>
  <c r="G22" i="3"/>
  <c r="G14" i="3"/>
  <c r="H3" i="3"/>
  <c r="I29" i="3"/>
  <c r="S23" i="3"/>
  <c r="L23" i="3" s="1"/>
  <c r="S15" i="3"/>
  <c r="L15" i="3" s="1"/>
  <c r="S7" i="3"/>
  <c r="L7" i="3" s="1"/>
  <c r="S28" i="3"/>
  <c r="L28" i="3" s="1"/>
  <c r="S20" i="3"/>
  <c r="I20" i="3" s="1"/>
  <c r="S12" i="3"/>
  <c r="L12" i="3" s="1"/>
  <c r="S4" i="3"/>
  <c r="L4" i="3" s="1"/>
  <c r="L3" i="3"/>
  <c r="K10" i="1"/>
  <c r="K11" i="1"/>
  <c r="K19" i="1"/>
  <c r="K22" i="1"/>
  <c r="K25" i="1"/>
  <c r="K31" i="1"/>
  <c r="K32" i="1"/>
  <c r="K34" i="1"/>
  <c r="K36" i="1"/>
  <c r="K39" i="1"/>
  <c r="K44" i="1"/>
  <c r="K46" i="1"/>
  <c r="K49" i="1"/>
  <c r="K51" i="1"/>
  <c r="K57" i="1"/>
  <c r="K59" i="1"/>
  <c r="K66" i="1"/>
  <c r="K76" i="1"/>
  <c r="K77" i="1"/>
  <c r="K81" i="1"/>
  <c r="K82" i="1"/>
  <c r="K83" i="1"/>
  <c r="K85" i="1"/>
  <c r="K87" i="1"/>
  <c r="K88" i="1"/>
  <c r="K89" i="1"/>
  <c r="K94" i="1"/>
  <c r="K100" i="1"/>
  <c r="K104" i="1"/>
  <c r="K105" i="1"/>
  <c r="K113" i="1"/>
  <c r="K116" i="1"/>
  <c r="K117" i="1"/>
  <c r="K125" i="1"/>
  <c r="K127" i="1"/>
  <c r="K128" i="1"/>
  <c r="K131" i="1"/>
  <c r="K132" i="1"/>
  <c r="K134" i="1"/>
  <c r="K137" i="1"/>
  <c r="K141" i="1"/>
  <c r="O10" i="1"/>
  <c r="O11" i="1"/>
  <c r="O19" i="1"/>
  <c r="O22" i="1"/>
  <c r="O25" i="1"/>
  <c r="O31" i="1"/>
  <c r="O32" i="1"/>
  <c r="O34" i="1"/>
  <c r="O36" i="1"/>
  <c r="O39" i="1"/>
  <c r="O44" i="1"/>
  <c r="O46" i="1"/>
  <c r="O49" i="1"/>
  <c r="O51" i="1"/>
  <c r="O57" i="1"/>
  <c r="O59" i="1"/>
  <c r="O66" i="1"/>
  <c r="O76" i="1"/>
  <c r="O77" i="1"/>
  <c r="O81" i="1"/>
  <c r="O82" i="1"/>
  <c r="O83" i="1"/>
  <c r="O85" i="1"/>
  <c r="O87" i="1"/>
  <c r="O88" i="1"/>
  <c r="O89" i="1"/>
  <c r="O94" i="1"/>
  <c r="O100" i="1"/>
  <c r="O104" i="1"/>
  <c r="O105" i="1"/>
  <c r="O113" i="1"/>
  <c r="O116" i="1"/>
  <c r="O117" i="1"/>
  <c r="O125" i="1"/>
  <c r="O127" i="1"/>
  <c r="O128" i="1"/>
  <c r="O131" i="1"/>
  <c r="O132" i="1"/>
  <c r="O134" i="1"/>
  <c r="O137" i="1"/>
  <c r="O141" i="1"/>
  <c r="F70" i="2"/>
  <c r="F80" i="2"/>
  <c r="F95" i="2"/>
  <c r="F43" i="2"/>
  <c r="F9" i="2"/>
  <c r="F6" i="2"/>
  <c r="F91" i="2"/>
  <c r="F78" i="2"/>
  <c r="F79" i="2"/>
  <c r="F36" i="2"/>
  <c r="F60" i="2"/>
  <c r="F76" i="2"/>
  <c r="F90" i="2"/>
  <c r="F74" i="2"/>
  <c r="F63" i="2"/>
  <c r="F2" i="2"/>
  <c r="F47" i="2"/>
  <c r="F54" i="2"/>
  <c r="F28" i="2"/>
  <c r="F71" i="2"/>
  <c r="F11" i="2"/>
  <c r="F10" i="2"/>
  <c r="F12" i="2"/>
  <c r="F19" i="2"/>
  <c r="F37" i="2"/>
  <c r="F24" i="2"/>
  <c r="F31" i="2"/>
  <c r="F86" i="2"/>
  <c r="F82" i="2"/>
  <c r="F4" i="2"/>
  <c r="F40" i="2"/>
  <c r="F17" i="2"/>
  <c r="F52" i="2"/>
  <c r="F55" i="2"/>
  <c r="F72" i="2"/>
  <c r="F14" i="2"/>
  <c r="F41" i="2"/>
  <c r="F22" i="2"/>
  <c r="F84" i="2"/>
  <c r="F69" i="2"/>
  <c r="F8" i="2"/>
  <c r="F48" i="2"/>
  <c r="F57" i="2"/>
  <c r="F44" i="2"/>
  <c r="F83" i="2"/>
  <c r="F87" i="2"/>
  <c r="F20" i="2"/>
  <c r="F93" i="2"/>
  <c r="F50" i="2"/>
  <c r="F29" i="2"/>
  <c r="F97" i="2"/>
  <c r="F15" i="2"/>
  <c r="F61" i="2"/>
  <c r="F64" i="2"/>
  <c r="F53" i="2"/>
  <c r="F96" i="2"/>
  <c r="F32" i="2"/>
  <c r="F75" i="2"/>
  <c r="F49" i="2"/>
  <c r="F94" i="2"/>
  <c r="F25" i="2"/>
  <c r="F59" i="2"/>
  <c r="F5" i="2"/>
  <c r="F21" i="2"/>
  <c r="F89" i="2"/>
  <c r="F65" i="2"/>
  <c r="F81" i="2"/>
  <c r="F66" i="2"/>
  <c r="F18" i="2"/>
  <c r="F45" i="2"/>
  <c r="F30" i="2"/>
  <c r="F35" i="2"/>
  <c r="F58" i="2"/>
  <c r="F13" i="2"/>
  <c r="F68" i="2"/>
  <c r="F88" i="2"/>
  <c r="F92" i="2"/>
  <c r="F33" i="2"/>
  <c r="F73" i="2"/>
  <c r="F42" i="2"/>
  <c r="F67" i="2"/>
  <c r="F85" i="2"/>
  <c r="F56" i="2"/>
  <c r="F46" i="2"/>
  <c r="F7" i="2"/>
  <c r="F16" i="2"/>
  <c r="F26" i="2"/>
  <c r="F62" i="2"/>
  <c r="F77" i="2"/>
  <c r="F3" i="2"/>
  <c r="F23" i="2"/>
  <c r="F39" i="2"/>
  <c r="F38" i="2"/>
  <c r="F27" i="2"/>
  <c r="F34" i="2"/>
  <c r="F51" i="2"/>
  <c r="D70" i="2"/>
  <c r="D80" i="2"/>
  <c r="D95" i="2"/>
  <c r="D43" i="2"/>
  <c r="D9" i="2"/>
  <c r="D6" i="2"/>
  <c r="D91" i="2"/>
  <c r="D78" i="2"/>
  <c r="D79" i="2"/>
  <c r="D36" i="2"/>
  <c r="D60" i="2"/>
  <c r="D76" i="2"/>
  <c r="D90" i="2"/>
  <c r="D74" i="2"/>
  <c r="D63" i="2"/>
  <c r="D2" i="2"/>
  <c r="D47" i="2"/>
  <c r="D54" i="2"/>
  <c r="D28" i="2"/>
  <c r="D71" i="2"/>
  <c r="D11" i="2"/>
  <c r="D10" i="2"/>
  <c r="D12" i="2"/>
  <c r="D19" i="2"/>
  <c r="D37" i="2"/>
  <c r="D24" i="2"/>
  <c r="D31" i="2"/>
  <c r="D86" i="2"/>
  <c r="D82" i="2"/>
  <c r="D4" i="2"/>
  <c r="D40" i="2"/>
  <c r="D17" i="2"/>
  <c r="D52" i="2"/>
  <c r="D55" i="2"/>
  <c r="D72" i="2"/>
  <c r="D14" i="2"/>
  <c r="D41" i="2"/>
  <c r="D22" i="2"/>
  <c r="D84" i="2"/>
  <c r="D69" i="2"/>
  <c r="D8" i="2"/>
  <c r="D48" i="2"/>
  <c r="D57" i="2"/>
  <c r="D44" i="2"/>
  <c r="D83" i="2"/>
  <c r="D87" i="2"/>
  <c r="D20" i="2"/>
  <c r="D93" i="2"/>
  <c r="D50" i="2"/>
  <c r="D29" i="2"/>
  <c r="D97" i="2"/>
  <c r="D15" i="2"/>
  <c r="D61" i="2"/>
  <c r="D64" i="2"/>
  <c r="D53" i="2"/>
  <c r="D96" i="2"/>
  <c r="D32" i="2"/>
  <c r="D75" i="2"/>
  <c r="D49" i="2"/>
  <c r="D94" i="2"/>
  <c r="D25" i="2"/>
  <c r="D59" i="2"/>
  <c r="D5" i="2"/>
  <c r="D21" i="2"/>
  <c r="D89" i="2"/>
  <c r="D65" i="2"/>
  <c r="D81" i="2"/>
  <c r="D66" i="2"/>
  <c r="D18" i="2"/>
  <c r="D45" i="2"/>
  <c r="D30" i="2"/>
  <c r="D35" i="2"/>
  <c r="D58" i="2"/>
  <c r="D13" i="2"/>
  <c r="D68" i="2"/>
  <c r="D88" i="2"/>
  <c r="D92" i="2"/>
  <c r="D33" i="2"/>
  <c r="D73" i="2"/>
  <c r="D42" i="2"/>
  <c r="D67" i="2"/>
  <c r="D85" i="2"/>
  <c r="D56" i="2"/>
  <c r="D46" i="2"/>
  <c r="D7" i="2"/>
  <c r="D16" i="2"/>
  <c r="D26" i="2"/>
  <c r="D62" i="2"/>
  <c r="D77" i="2"/>
  <c r="D3" i="2"/>
  <c r="D23" i="2"/>
  <c r="D39" i="2"/>
  <c r="D38" i="2"/>
  <c r="D27" i="2"/>
  <c r="D34" i="2"/>
  <c r="D51" i="2"/>
  <c r="C70" i="2"/>
  <c r="C80" i="2"/>
  <c r="C95" i="2"/>
  <c r="C43" i="2"/>
  <c r="C9" i="2"/>
  <c r="C6" i="2"/>
  <c r="C91" i="2"/>
  <c r="C78" i="2"/>
  <c r="C79" i="2"/>
  <c r="C36" i="2"/>
  <c r="C60" i="2"/>
  <c r="C76" i="2"/>
  <c r="C90" i="2"/>
  <c r="C74" i="2"/>
  <c r="C63" i="2"/>
  <c r="C2" i="2"/>
  <c r="C47" i="2"/>
  <c r="C54" i="2"/>
  <c r="C28" i="2"/>
  <c r="C71" i="2"/>
  <c r="C11" i="2"/>
  <c r="C10" i="2"/>
  <c r="C12" i="2"/>
  <c r="C19" i="2"/>
  <c r="C37" i="2"/>
  <c r="C24" i="2"/>
  <c r="C31" i="2"/>
  <c r="C86" i="2"/>
  <c r="C82" i="2"/>
  <c r="C4" i="2"/>
  <c r="C40" i="2"/>
  <c r="C17" i="2"/>
  <c r="C52" i="2"/>
  <c r="C55" i="2"/>
  <c r="C72" i="2"/>
  <c r="C14" i="2"/>
  <c r="C41" i="2"/>
  <c r="C22" i="2"/>
  <c r="C84" i="2"/>
  <c r="C69" i="2"/>
  <c r="C8" i="2"/>
  <c r="C48" i="2"/>
  <c r="C57" i="2"/>
  <c r="C44" i="2"/>
  <c r="C83" i="2"/>
  <c r="C87" i="2"/>
  <c r="C20" i="2"/>
  <c r="C93" i="2"/>
  <c r="C50" i="2"/>
  <c r="C29" i="2"/>
  <c r="C97" i="2"/>
  <c r="C15" i="2"/>
  <c r="C61" i="2"/>
  <c r="C64" i="2"/>
  <c r="C53" i="2"/>
  <c r="C96" i="2"/>
  <c r="C32" i="2"/>
  <c r="C75" i="2"/>
  <c r="C49" i="2"/>
  <c r="C94" i="2"/>
  <c r="C25" i="2"/>
  <c r="C59" i="2"/>
  <c r="C5" i="2"/>
  <c r="C21" i="2"/>
  <c r="C89" i="2"/>
  <c r="C65" i="2"/>
  <c r="C81" i="2"/>
  <c r="C66" i="2"/>
  <c r="C18" i="2"/>
  <c r="C45" i="2"/>
  <c r="C30" i="2"/>
  <c r="C35" i="2"/>
  <c r="C58" i="2"/>
  <c r="C13" i="2"/>
  <c r="C68" i="2"/>
  <c r="C88" i="2"/>
  <c r="C92" i="2"/>
  <c r="C33" i="2"/>
  <c r="C73" i="2"/>
  <c r="C42" i="2"/>
  <c r="C67" i="2"/>
  <c r="C85" i="2"/>
  <c r="C56" i="2"/>
  <c r="C46" i="2"/>
  <c r="C7" i="2"/>
  <c r="C16" i="2"/>
  <c r="C26" i="2"/>
  <c r="C62" i="2"/>
  <c r="C77" i="2"/>
  <c r="C3" i="2"/>
  <c r="C23" i="2"/>
  <c r="C39" i="2"/>
  <c r="C38" i="2"/>
  <c r="C27" i="2"/>
  <c r="C34" i="2"/>
  <c r="C51" i="2"/>
  <c r="AW58" i="3" l="1"/>
  <c r="M27" i="3"/>
  <c r="M6" i="1"/>
  <c r="AP86" i="3"/>
  <c r="AQ86" i="3"/>
  <c r="AN21" i="3"/>
  <c r="AO21" i="3"/>
  <c r="M86" i="3"/>
  <c r="I7" i="3"/>
  <c r="L21" i="3"/>
  <c r="AP21" i="3" s="1"/>
  <c r="AV21" i="3" s="1"/>
  <c r="I41" i="3"/>
  <c r="AN41" i="3" s="1"/>
  <c r="AT41" i="3" s="1"/>
  <c r="I72" i="3"/>
  <c r="J21" i="3"/>
  <c r="I46" i="3"/>
  <c r="AN46" i="3" s="1"/>
  <c r="AT46" i="3" s="1"/>
  <c r="I27" i="3"/>
  <c r="J27" i="3" s="1"/>
  <c r="I15" i="3"/>
  <c r="AP27" i="3"/>
  <c r="AV27" i="3" s="1"/>
  <c r="I62" i="3"/>
  <c r="AN62" i="3" s="1"/>
  <c r="AT62" i="3" s="1"/>
  <c r="I61" i="3"/>
  <c r="AO61" i="3" s="1"/>
  <c r="AU61" i="3" s="1"/>
  <c r="AQ27" i="3"/>
  <c r="I92" i="3"/>
  <c r="I8" i="3"/>
  <c r="L53" i="3"/>
  <c r="I86" i="3"/>
  <c r="J22" i="3"/>
  <c r="AQ30" i="3"/>
  <c r="I31" i="3"/>
  <c r="I30" i="3"/>
  <c r="AP58" i="3"/>
  <c r="AV58" i="3" s="1"/>
  <c r="M17" i="3"/>
  <c r="AV22" i="3"/>
  <c r="AT13" i="3"/>
  <c r="AW68" i="3"/>
  <c r="L5" i="3"/>
  <c r="M5" i="3" s="1"/>
  <c r="AV17" i="3"/>
  <c r="I54" i="3"/>
  <c r="M60" i="3"/>
  <c r="AW46" i="3"/>
  <c r="I4" i="3"/>
  <c r="L19" i="3"/>
  <c r="M22" i="3"/>
  <c r="AP77" i="3"/>
  <c r="AV77" i="3" s="1"/>
  <c r="AU21" i="3"/>
  <c r="AV37" i="3"/>
  <c r="I28" i="3"/>
  <c r="AW17" i="3"/>
  <c r="M68" i="3"/>
  <c r="AQ52" i="3"/>
  <c r="AW52" i="3" s="1"/>
  <c r="AU79" i="3"/>
  <c r="AV60" i="3"/>
  <c r="AW37" i="3"/>
  <c r="I24" i="3"/>
  <c r="AU22" i="3"/>
  <c r="I55" i="3"/>
  <c r="AP52" i="3"/>
  <c r="AV52" i="3" s="1"/>
  <c r="AQ60" i="3"/>
  <c r="AW60" i="3" s="1"/>
  <c r="L67" i="3"/>
  <c r="AQ67" i="3" s="1"/>
  <c r="AW67" i="3" s="1"/>
  <c r="I75" i="3"/>
  <c r="AN75" i="3" s="1"/>
  <c r="AT75" i="3" s="1"/>
  <c r="AQ79" i="3"/>
  <c r="AW79" i="3" s="1"/>
  <c r="M79" i="3"/>
  <c r="AP79" i="3"/>
  <c r="AV79" i="3" s="1"/>
  <c r="AN14" i="3"/>
  <c r="AT14" i="3" s="1"/>
  <c r="J14" i="3"/>
  <c r="AO14" i="3"/>
  <c r="AP18" i="3"/>
  <c r="AV18" i="3" s="1"/>
  <c r="AQ18" i="3"/>
  <c r="AS18" i="3" s="1"/>
  <c r="M18" i="3"/>
  <c r="AO25" i="3"/>
  <c r="AN25" i="3"/>
  <c r="J25" i="3"/>
  <c r="AQ87" i="3"/>
  <c r="AW87" i="3" s="1"/>
  <c r="M87" i="3"/>
  <c r="AP87" i="3"/>
  <c r="AV87" i="3" s="1"/>
  <c r="L64" i="3"/>
  <c r="AP64" i="3" s="1"/>
  <c r="AV64" i="3" s="1"/>
  <c r="L59" i="3"/>
  <c r="M37" i="3"/>
  <c r="L91" i="3"/>
  <c r="I12" i="3"/>
  <c r="J13" i="3"/>
  <c r="I70" i="3"/>
  <c r="J46" i="3"/>
  <c r="M46" i="3"/>
  <c r="I78" i="3"/>
  <c r="L89" i="3"/>
  <c r="AP89" i="3" s="1"/>
  <c r="AV89" i="3" s="1"/>
  <c r="L14" i="3"/>
  <c r="I87" i="3"/>
  <c r="AO13" i="3"/>
  <c r="AU13" i="3" s="1"/>
  <c r="AT21" i="3"/>
  <c r="AO46" i="3"/>
  <c r="AU46" i="3" s="1"/>
  <c r="AV68" i="3"/>
  <c r="I79" i="3"/>
  <c r="I36" i="3"/>
  <c r="AQ42" i="3"/>
  <c r="I77" i="3"/>
  <c r="L25" i="3"/>
  <c r="M6" i="3"/>
  <c r="I39" i="3"/>
  <c r="AN39" i="3" s="1"/>
  <c r="AT39" i="3" s="1"/>
  <c r="L49" i="3"/>
  <c r="AP49" i="3" s="1"/>
  <c r="AV49" i="3" s="1"/>
  <c r="AQ22" i="3"/>
  <c r="AW22" i="3" s="1"/>
  <c r="AQ6" i="3"/>
  <c r="AW6" i="3" s="1"/>
  <c r="L56" i="3"/>
  <c r="I84" i="3"/>
  <c r="M77" i="3"/>
  <c r="I40" i="3"/>
  <c r="AO27" i="3"/>
  <c r="AR27" i="3" s="1"/>
  <c r="AN27" i="3"/>
  <c r="AQ48" i="3"/>
  <c r="M48" i="3"/>
  <c r="AP48" i="3"/>
  <c r="AN53" i="3"/>
  <c r="AO53" i="3"/>
  <c r="J53" i="3"/>
  <c r="AP12" i="3"/>
  <c r="AQ12" i="3"/>
  <c r="M12" i="3"/>
  <c r="AP36" i="3"/>
  <c r="AV36" i="3" s="1"/>
  <c r="AQ36" i="3"/>
  <c r="AW36" i="3" s="1"/>
  <c r="M36" i="3"/>
  <c r="AO59" i="3"/>
  <c r="J59" i="3"/>
  <c r="AN59" i="3"/>
  <c r="AT59" i="3" s="1"/>
  <c r="AQ40" i="3"/>
  <c r="AW40" i="3" s="1"/>
  <c r="M40" i="3"/>
  <c r="AP40" i="3"/>
  <c r="AV40" i="3" s="1"/>
  <c r="J64" i="3"/>
  <c r="AN64" i="3"/>
  <c r="AO64" i="3"/>
  <c r="AP72" i="3"/>
  <c r="M72" i="3"/>
  <c r="AQ72" i="3"/>
  <c r="AW72" i="3" s="1"/>
  <c r="AN89" i="3"/>
  <c r="AT89" i="3" s="1"/>
  <c r="AO89" i="3"/>
  <c r="J89" i="3"/>
  <c r="AN20" i="3"/>
  <c r="AO20" i="3"/>
  <c r="J20" i="3"/>
  <c r="J74" i="3"/>
  <c r="AO74" i="3"/>
  <c r="AN74" i="3"/>
  <c r="AT74" i="3" s="1"/>
  <c r="AQ28" i="3"/>
  <c r="AW28" i="3" s="1"/>
  <c r="AP28" i="3"/>
  <c r="AV28" i="3" s="1"/>
  <c r="M28" i="3"/>
  <c r="M8" i="3"/>
  <c r="AQ8" i="3"/>
  <c r="AP8" i="3"/>
  <c r="M24" i="3"/>
  <c r="AQ24" i="3"/>
  <c r="AP24" i="3"/>
  <c r="AV24" i="3" s="1"/>
  <c r="AP33" i="3"/>
  <c r="AV33" i="3" s="1"/>
  <c r="AQ33" i="3"/>
  <c r="AW33" i="3" s="1"/>
  <c r="M33" i="3"/>
  <c r="AN44" i="3"/>
  <c r="AT44" i="3" s="1"/>
  <c r="AO44" i="3"/>
  <c r="J44" i="3"/>
  <c r="AO80" i="3"/>
  <c r="AN80" i="3"/>
  <c r="AT80" i="3" s="1"/>
  <c r="J80" i="3"/>
  <c r="AN81" i="3"/>
  <c r="AT81" i="3" s="1"/>
  <c r="AO81" i="3"/>
  <c r="J81" i="3"/>
  <c r="AQ69" i="3"/>
  <c r="AW69" i="3" s="1"/>
  <c r="M69" i="3"/>
  <c r="AP69" i="3"/>
  <c r="M16" i="3"/>
  <c r="AQ16" i="3"/>
  <c r="AP16" i="3"/>
  <c r="AN11" i="3"/>
  <c r="AT11" i="3" s="1"/>
  <c r="J11" i="3"/>
  <c r="AO11" i="3"/>
  <c r="AU11" i="3" s="1"/>
  <c r="AP88" i="3"/>
  <c r="AV88" i="3" s="1"/>
  <c r="AQ88" i="3"/>
  <c r="AW88" i="3" s="1"/>
  <c r="M88" i="3"/>
  <c r="AN28" i="3"/>
  <c r="AT28" i="3" s="1"/>
  <c r="AO28" i="3"/>
  <c r="J28" i="3"/>
  <c r="AP4" i="3"/>
  <c r="AV4" i="3" s="1"/>
  <c r="AQ4" i="3"/>
  <c r="AW4" i="3" s="1"/>
  <c r="M4" i="3"/>
  <c r="AW24" i="3"/>
  <c r="AU14" i="3"/>
  <c r="AS42" i="3"/>
  <c r="AR42" i="3"/>
  <c r="AP59" i="3"/>
  <c r="AV59" i="3" s="1"/>
  <c r="AQ59" i="3"/>
  <c r="AW59" i="3" s="1"/>
  <c r="M59" i="3"/>
  <c r="AP65" i="3"/>
  <c r="AQ65" i="3"/>
  <c r="M65" i="3"/>
  <c r="AV48" i="3"/>
  <c r="AW48" i="3"/>
  <c r="I51" i="3"/>
  <c r="L51" i="3"/>
  <c r="AQ53" i="3"/>
  <c r="AW53" i="3" s="1"/>
  <c r="M53" i="3"/>
  <c r="AP53" i="3"/>
  <c r="AV53" i="3" s="1"/>
  <c r="AP85" i="3"/>
  <c r="AV85" i="3" s="1"/>
  <c r="AQ85" i="3"/>
  <c r="AW85" i="3" s="1"/>
  <c r="M85" i="3"/>
  <c r="AT56" i="3"/>
  <c r="AU56" i="3"/>
  <c r="AP56" i="3"/>
  <c r="AV56" i="3" s="1"/>
  <c r="AQ56" i="3"/>
  <c r="AW56" i="3" s="1"/>
  <c r="M56" i="3"/>
  <c r="AN92" i="3"/>
  <c r="AT92" i="3" s="1"/>
  <c r="AO92" i="3"/>
  <c r="J92" i="3"/>
  <c r="AN84" i="3"/>
  <c r="AT84" i="3" s="1"/>
  <c r="AO84" i="3"/>
  <c r="J84" i="3"/>
  <c r="J77" i="3"/>
  <c r="AO77" i="3"/>
  <c r="AN77" i="3"/>
  <c r="AT77" i="3" s="1"/>
  <c r="M76" i="3"/>
  <c r="AP76" i="3"/>
  <c r="AV76" i="3" s="1"/>
  <c r="AQ76" i="3"/>
  <c r="AW76" i="3" s="1"/>
  <c r="M89" i="3"/>
  <c r="AQ89" i="3"/>
  <c r="AW89" i="3" s="1"/>
  <c r="I88" i="3"/>
  <c r="AN7" i="3"/>
  <c r="AT7" i="3" s="1"/>
  <c r="AO7" i="3"/>
  <c r="J7" i="3"/>
  <c r="AN5" i="3"/>
  <c r="AT5" i="3" s="1"/>
  <c r="AO5" i="3"/>
  <c r="J5" i="3"/>
  <c r="AN8" i="3"/>
  <c r="AT8" i="3" s="1"/>
  <c r="AO8" i="3"/>
  <c r="J8" i="3"/>
  <c r="J6" i="3"/>
  <c r="AO6" i="3"/>
  <c r="AN6" i="3"/>
  <c r="AT6" i="3" s="1"/>
  <c r="M21" i="3"/>
  <c r="AO9" i="3"/>
  <c r="J9" i="3"/>
  <c r="AN9" i="3"/>
  <c r="AT9" i="3" s="1"/>
  <c r="J30" i="3"/>
  <c r="AN30" i="3"/>
  <c r="AT30" i="3" s="1"/>
  <c r="AO30" i="3"/>
  <c r="AP9" i="3"/>
  <c r="AV9" i="3" s="1"/>
  <c r="AQ9" i="3"/>
  <c r="AW9" i="3" s="1"/>
  <c r="M9" i="3"/>
  <c r="AN19" i="3"/>
  <c r="AT19" i="3" s="1"/>
  <c r="J19" i="3"/>
  <c r="AO19" i="3"/>
  <c r="AU19" i="3" s="1"/>
  <c r="AU8" i="3"/>
  <c r="M29" i="3"/>
  <c r="AP29" i="3"/>
  <c r="AV29" i="3" s="1"/>
  <c r="AQ29" i="3"/>
  <c r="AW29" i="3" s="1"/>
  <c r="AN60" i="3"/>
  <c r="AT60" i="3" s="1"/>
  <c r="AO60" i="3"/>
  <c r="J60" i="3"/>
  <c r="AP70" i="3"/>
  <c r="AV70" i="3" s="1"/>
  <c r="AQ70" i="3"/>
  <c r="AW70" i="3" s="1"/>
  <c r="M70" i="3"/>
  <c r="AV34" i="3"/>
  <c r="AW34" i="3"/>
  <c r="AN58" i="3"/>
  <c r="AT58" i="3" s="1"/>
  <c r="AO58" i="3"/>
  <c r="J58" i="3"/>
  <c r="M55" i="3"/>
  <c r="AP55" i="3"/>
  <c r="AV55" i="3" s="1"/>
  <c r="AQ55" i="3"/>
  <c r="AW55" i="3" s="1"/>
  <c r="I35" i="3"/>
  <c r="AQ90" i="3"/>
  <c r="AW90" i="3" s="1"/>
  <c r="M90" i="3"/>
  <c r="AP90" i="3"/>
  <c r="AV90" i="3" s="1"/>
  <c r="J56" i="3"/>
  <c r="AN56" i="3"/>
  <c r="AO56" i="3"/>
  <c r="J72" i="3"/>
  <c r="AN72" i="3"/>
  <c r="AT72" i="3" s="1"/>
  <c r="AO72" i="3"/>
  <c r="AU72" i="3" s="1"/>
  <c r="L74" i="3"/>
  <c r="AV86" i="3"/>
  <c r="AW86" i="3"/>
  <c r="AV10" i="3"/>
  <c r="AW10" i="3"/>
  <c r="AU77" i="3"/>
  <c r="J90" i="3"/>
  <c r="AN90" i="3"/>
  <c r="AT90" i="3" s="1"/>
  <c r="AO90" i="3"/>
  <c r="AU90" i="3" s="1"/>
  <c r="AQ3" i="3"/>
  <c r="AW3" i="3" s="1"/>
  <c r="M3" i="3"/>
  <c r="AP3" i="3"/>
  <c r="AV3" i="3" s="1"/>
  <c r="AN15" i="3"/>
  <c r="AT15" i="3" s="1"/>
  <c r="AO15" i="3"/>
  <c r="J15" i="3"/>
  <c r="AP7" i="3"/>
  <c r="AV7" i="3" s="1"/>
  <c r="AQ7" i="3"/>
  <c r="AW7" i="3" s="1"/>
  <c r="M7" i="3"/>
  <c r="AV16" i="3"/>
  <c r="AW16" i="3"/>
  <c r="AT20" i="3"/>
  <c r="AP39" i="3"/>
  <c r="AV39" i="3" s="1"/>
  <c r="AQ39" i="3"/>
  <c r="AW39" i="3" s="1"/>
  <c r="M39" i="3"/>
  <c r="AN32" i="3"/>
  <c r="AT32" i="3" s="1"/>
  <c r="AO32" i="3"/>
  <c r="AU32" i="3" s="1"/>
  <c r="J32" i="3"/>
  <c r="AP35" i="3"/>
  <c r="AV35" i="3" s="1"/>
  <c r="AQ35" i="3"/>
  <c r="AW35" i="3" s="1"/>
  <c r="M35" i="3"/>
  <c r="AS34" i="3"/>
  <c r="AR34" i="3"/>
  <c r="AV42" i="3"/>
  <c r="AW42" i="3"/>
  <c r="I71" i="3"/>
  <c r="AT34" i="3"/>
  <c r="AU34" i="3"/>
  <c r="AN66" i="3"/>
  <c r="AT66" i="3" s="1"/>
  <c r="AO66" i="3"/>
  <c r="J66" i="3"/>
  <c r="M63" i="3"/>
  <c r="AP63" i="3"/>
  <c r="AV63" i="3" s="1"/>
  <c r="AQ63" i="3"/>
  <c r="AW63" i="3" s="1"/>
  <c r="AP75" i="3"/>
  <c r="AV75" i="3" s="1"/>
  <c r="AQ75" i="3"/>
  <c r="AW75" i="3" s="1"/>
  <c r="M75" i="3"/>
  <c r="AP91" i="3"/>
  <c r="AV91" i="3" s="1"/>
  <c r="AQ91" i="3"/>
  <c r="AW91" i="3" s="1"/>
  <c r="M91" i="3"/>
  <c r="AV72" i="3"/>
  <c r="AT10" i="3"/>
  <c r="AU10" i="3"/>
  <c r="M92" i="3"/>
  <c r="AP92" i="3"/>
  <c r="AV92" i="3" s="1"/>
  <c r="AQ92" i="3"/>
  <c r="AW92" i="3" s="1"/>
  <c r="AN4" i="3"/>
  <c r="AT4" i="3" s="1"/>
  <c r="AO4" i="3"/>
  <c r="J4" i="3"/>
  <c r="I23" i="3"/>
  <c r="I16" i="3"/>
  <c r="AT25" i="3"/>
  <c r="AU25" i="3"/>
  <c r="AS26" i="3"/>
  <c r="AR26" i="3"/>
  <c r="I47" i="3"/>
  <c r="AS10" i="3"/>
  <c r="AR10" i="3"/>
  <c r="AT40" i="3"/>
  <c r="AU40" i="3"/>
  <c r="AN40" i="3"/>
  <c r="AO40" i="3"/>
  <c r="J40" i="3"/>
  <c r="AN54" i="3"/>
  <c r="AT54" i="3" s="1"/>
  <c r="AO54" i="3"/>
  <c r="J54" i="3"/>
  <c r="AT42" i="3"/>
  <c r="AU42" i="3"/>
  <c r="M73" i="3"/>
  <c r="AQ73" i="3"/>
  <c r="AW73" i="3" s="1"/>
  <c r="AP73" i="3"/>
  <c r="AV73" i="3" s="1"/>
  <c r="M42" i="3"/>
  <c r="AT64" i="3"/>
  <c r="AU64" i="3"/>
  <c r="I85" i="3"/>
  <c r="AQ61" i="3"/>
  <c r="AW61" i="3" s="1"/>
  <c r="M61" i="3"/>
  <c r="AP61" i="3"/>
  <c r="L81" i="3"/>
  <c r="I43" i="3"/>
  <c r="AU92" i="3"/>
  <c r="L11" i="3"/>
  <c r="AP15" i="3"/>
  <c r="AV15" i="3" s="1"/>
  <c r="AQ15" i="3"/>
  <c r="AW15" i="3" s="1"/>
  <c r="M15" i="3"/>
  <c r="AO17" i="3"/>
  <c r="J17" i="3"/>
  <c r="AN17" i="3"/>
  <c r="AT17" i="3" s="1"/>
  <c r="L44" i="3"/>
  <c r="AN48" i="3"/>
  <c r="AT48" i="3" s="1"/>
  <c r="AO48" i="3"/>
  <c r="AU48" i="3" s="1"/>
  <c r="J48" i="3"/>
  <c r="AW27" i="3"/>
  <c r="J62" i="3"/>
  <c r="AP62" i="3"/>
  <c r="AV62" i="3" s="1"/>
  <c r="AQ62" i="3"/>
  <c r="AW62" i="3" s="1"/>
  <c r="M62" i="3"/>
  <c r="AN45" i="3"/>
  <c r="AO45" i="3"/>
  <c r="J45" i="3"/>
  <c r="AN37" i="3"/>
  <c r="AT37" i="3" s="1"/>
  <c r="AO37" i="3"/>
  <c r="AU37" i="3" s="1"/>
  <c r="J37" i="3"/>
  <c r="M45" i="3"/>
  <c r="AP45" i="3"/>
  <c r="AV45" i="3" s="1"/>
  <c r="AQ45" i="3"/>
  <c r="AW45" i="3" s="1"/>
  <c r="I69" i="3"/>
  <c r="AN91" i="3"/>
  <c r="AT91" i="3" s="1"/>
  <c r="AO91" i="3"/>
  <c r="J91" i="3"/>
  <c r="I73" i="3"/>
  <c r="AN78" i="3"/>
  <c r="AT78" i="3" s="1"/>
  <c r="AO78" i="3"/>
  <c r="J78" i="3"/>
  <c r="L80" i="3"/>
  <c r="J61" i="3"/>
  <c r="AN82" i="3"/>
  <c r="AO82" i="3"/>
  <c r="AU82" i="3" s="1"/>
  <c r="J82" i="3"/>
  <c r="AN12" i="3"/>
  <c r="AT12" i="3" s="1"/>
  <c r="AO12" i="3"/>
  <c r="AU12" i="3" s="1"/>
  <c r="J12" i="3"/>
  <c r="L20" i="3"/>
  <c r="AN24" i="3"/>
  <c r="AO24" i="3"/>
  <c r="AU24" i="3" s="1"/>
  <c r="J24" i="3"/>
  <c r="M13" i="3"/>
  <c r="AP13" i="3"/>
  <c r="AV13" i="3" s="1"/>
  <c r="AQ13" i="3"/>
  <c r="AW13" i="3" s="1"/>
  <c r="AT18" i="3"/>
  <c r="AU18" i="3"/>
  <c r="AN33" i="3"/>
  <c r="AT33" i="3" s="1"/>
  <c r="AO33" i="3"/>
  <c r="J33" i="3"/>
  <c r="AN31" i="3"/>
  <c r="AT31" i="3" s="1"/>
  <c r="AO31" i="3"/>
  <c r="J31" i="3"/>
  <c r="AP41" i="3"/>
  <c r="AV41" i="3" s="1"/>
  <c r="AQ41" i="3"/>
  <c r="AW41" i="3" s="1"/>
  <c r="M41" i="3"/>
  <c r="J18" i="3"/>
  <c r="AP47" i="3"/>
  <c r="AV47" i="3" s="1"/>
  <c r="AQ47" i="3"/>
  <c r="AW47" i="3" s="1"/>
  <c r="M47" i="3"/>
  <c r="AN70" i="3"/>
  <c r="AT70" i="3" s="1"/>
  <c r="AO70" i="3"/>
  <c r="J70" i="3"/>
  <c r="AN52" i="3"/>
  <c r="AT52" i="3" s="1"/>
  <c r="AO52" i="3"/>
  <c r="J52" i="3"/>
  <c r="AN55" i="3"/>
  <c r="AT55" i="3" s="1"/>
  <c r="AO55" i="3"/>
  <c r="AU55" i="3" s="1"/>
  <c r="J55" i="3"/>
  <c r="M71" i="3"/>
  <c r="AP71" i="3"/>
  <c r="AV71" i="3" s="1"/>
  <c r="AQ71" i="3"/>
  <c r="AW71" i="3" s="1"/>
  <c r="I57" i="3"/>
  <c r="AQ32" i="3"/>
  <c r="AW32" i="3" s="1"/>
  <c r="M32" i="3"/>
  <c r="AP32" i="3"/>
  <c r="AV32" i="3" s="1"/>
  <c r="AO67" i="3"/>
  <c r="J67" i="3"/>
  <c r="AN67" i="3"/>
  <c r="AT67" i="3" s="1"/>
  <c r="AP83" i="3"/>
  <c r="AV83" i="3" s="1"/>
  <c r="AQ83" i="3"/>
  <c r="AW83" i="3" s="1"/>
  <c r="M83" i="3"/>
  <c r="AV69" i="3"/>
  <c r="I65" i="3"/>
  <c r="AV61" i="3"/>
  <c r="M84" i="3"/>
  <c r="AP84" i="3"/>
  <c r="AV84" i="3" s="1"/>
  <c r="AQ84" i="3"/>
  <c r="AW84" i="3" s="1"/>
  <c r="AQ19" i="3"/>
  <c r="AW19" i="3" s="1"/>
  <c r="M19" i="3"/>
  <c r="AP19" i="3"/>
  <c r="AV19" i="3" s="1"/>
  <c r="AP23" i="3"/>
  <c r="AV23" i="3" s="1"/>
  <c r="AQ23" i="3"/>
  <c r="AW23" i="3" s="1"/>
  <c r="M23" i="3"/>
  <c r="AN3" i="3"/>
  <c r="AT3" i="3" s="1"/>
  <c r="AO3" i="3"/>
  <c r="AU3" i="3" s="1"/>
  <c r="J3" i="3"/>
  <c r="AT24" i="3"/>
  <c r="AR22" i="3"/>
  <c r="AS22" i="3"/>
  <c r="AN36" i="3"/>
  <c r="AT36" i="3" s="1"/>
  <c r="AO36" i="3"/>
  <c r="J36" i="3"/>
  <c r="AW26" i="3"/>
  <c r="AV26" i="3"/>
  <c r="AP43" i="3"/>
  <c r="AV43" i="3" s="1"/>
  <c r="AQ43" i="3"/>
  <c r="AW43" i="3" s="1"/>
  <c r="M43" i="3"/>
  <c r="AV8" i="3"/>
  <c r="AW8" i="3"/>
  <c r="AN68" i="3"/>
  <c r="AT68" i="3" s="1"/>
  <c r="AO68" i="3"/>
  <c r="J68" i="3"/>
  <c r="AP57" i="3"/>
  <c r="AV57" i="3" s="1"/>
  <c r="AQ57" i="3"/>
  <c r="AW57" i="3" s="1"/>
  <c r="M57" i="3"/>
  <c r="AW30" i="3"/>
  <c r="AV30" i="3"/>
  <c r="AR38" i="3"/>
  <c r="AS38" i="3"/>
  <c r="AQ82" i="3"/>
  <c r="AW82" i="3" s="1"/>
  <c r="M82" i="3"/>
  <c r="AP82" i="3"/>
  <c r="AV82" i="3" s="1"/>
  <c r="I76" i="3"/>
  <c r="AT82" i="3"/>
  <c r="AV65" i="3"/>
  <c r="AW65" i="3"/>
  <c r="AN29" i="3"/>
  <c r="AT29" i="3" s="1"/>
  <c r="AO29" i="3"/>
  <c r="J29" i="3"/>
  <c r="AU17" i="3"/>
  <c r="AT27" i="3"/>
  <c r="AN49" i="3"/>
  <c r="AT49" i="3" s="1"/>
  <c r="AO49" i="3"/>
  <c r="AU49" i="3" s="1"/>
  <c r="J49" i="3"/>
  <c r="AV12" i="3"/>
  <c r="AW12" i="3"/>
  <c r="AU26" i="3"/>
  <c r="AT45" i="3"/>
  <c r="AP31" i="3"/>
  <c r="AV31" i="3" s="1"/>
  <c r="AQ31" i="3"/>
  <c r="AW31" i="3" s="1"/>
  <c r="M31" i="3"/>
  <c r="J42" i="3"/>
  <c r="M30" i="3"/>
  <c r="AP54" i="3"/>
  <c r="AV54" i="3" s="1"/>
  <c r="AQ54" i="3"/>
  <c r="AW54" i="3" s="1"/>
  <c r="M54" i="3"/>
  <c r="I63" i="3"/>
  <c r="J50" i="3"/>
  <c r="AN50" i="3"/>
  <c r="AT50" i="3" s="1"/>
  <c r="AO50" i="3"/>
  <c r="AT53" i="3"/>
  <c r="AU53" i="3"/>
  <c r="I83" i="3"/>
  <c r="AN86" i="3"/>
  <c r="AT86" i="3" s="1"/>
  <c r="AO86" i="3"/>
  <c r="J86" i="3"/>
  <c r="AV78" i="3"/>
  <c r="AW78" i="3"/>
  <c r="J75" i="3" l="1"/>
  <c r="AN61" i="3"/>
  <c r="AT61" i="3" s="1"/>
  <c r="AO62" i="3"/>
  <c r="J41" i="3"/>
  <c r="AO75" i="3"/>
  <c r="AR75" i="3" s="1"/>
  <c r="M64" i="3"/>
  <c r="M49" i="3"/>
  <c r="AR18" i="3"/>
  <c r="AO41" i="3"/>
  <c r="M67" i="3"/>
  <c r="AW18" i="3"/>
  <c r="AQ64" i="3"/>
  <c r="AW64" i="3" s="1"/>
  <c r="AP67" i="3"/>
  <c r="AV67" i="3" s="1"/>
  <c r="J39" i="3"/>
  <c r="AQ21" i="3"/>
  <c r="AU27" i="3"/>
  <c r="AP5" i="3"/>
  <c r="AV5" i="3" s="1"/>
  <c r="AO39" i="3"/>
  <c r="AS46" i="3"/>
  <c r="AR13" i="3"/>
  <c r="AR46" i="3"/>
  <c r="AS13" i="3"/>
  <c r="AS27" i="3"/>
  <c r="AQ49" i="3"/>
  <c r="AW49" i="3" s="1"/>
  <c r="AQ5" i="3"/>
  <c r="AW5" i="3" s="1"/>
  <c r="AP25" i="3"/>
  <c r="AV25" i="3" s="1"/>
  <c r="AQ25" i="3"/>
  <c r="M25" i="3"/>
  <c r="AN87" i="3"/>
  <c r="AT87" i="3" s="1"/>
  <c r="AO87" i="3"/>
  <c r="J87" i="3"/>
  <c r="AP14" i="3"/>
  <c r="AV14" i="3" s="1"/>
  <c r="AQ14" i="3"/>
  <c r="M14" i="3"/>
  <c r="AN79" i="3"/>
  <c r="AO79" i="3"/>
  <c r="J79" i="3"/>
  <c r="AN83" i="3"/>
  <c r="AT83" i="3" s="1"/>
  <c r="AO83" i="3"/>
  <c r="J83" i="3"/>
  <c r="AS29" i="3"/>
  <c r="AR29" i="3"/>
  <c r="AS75" i="3"/>
  <c r="AU75" i="3"/>
  <c r="AP20" i="3"/>
  <c r="AV20" i="3" s="1"/>
  <c r="AQ20" i="3"/>
  <c r="AW20" i="3" s="1"/>
  <c r="M20" i="3"/>
  <c r="AP80" i="3"/>
  <c r="AV80" i="3" s="1"/>
  <c r="AQ80" i="3"/>
  <c r="AW80" i="3" s="1"/>
  <c r="M80" i="3"/>
  <c r="AR91" i="3"/>
  <c r="AS91" i="3"/>
  <c r="AU91" i="3"/>
  <c r="AP44" i="3"/>
  <c r="AV44" i="3" s="1"/>
  <c r="AQ44" i="3"/>
  <c r="AW44" i="3" s="1"/>
  <c r="M44" i="3"/>
  <c r="AR40" i="3"/>
  <c r="AS40" i="3"/>
  <c r="AN47" i="3"/>
  <c r="AT47" i="3" s="1"/>
  <c r="AO47" i="3"/>
  <c r="J47" i="3"/>
  <c r="AR15" i="3"/>
  <c r="AS15" i="3"/>
  <c r="AU15" i="3"/>
  <c r="AP74" i="3"/>
  <c r="AV74" i="3" s="1"/>
  <c r="AQ74" i="3"/>
  <c r="AW74" i="3" s="1"/>
  <c r="M74" i="3"/>
  <c r="AR19" i="3"/>
  <c r="AS19" i="3"/>
  <c r="AR6" i="3"/>
  <c r="AS6" i="3"/>
  <c r="AU6" i="3"/>
  <c r="AS84" i="3"/>
  <c r="AR84" i="3"/>
  <c r="AU84" i="3"/>
  <c r="AP51" i="3"/>
  <c r="AV51" i="3" s="1"/>
  <c r="M51" i="3"/>
  <c r="AQ51" i="3"/>
  <c r="AW51" i="3" s="1"/>
  <c r="AU74" i="3"/>
  <c r="AR82" i="3"/>
  <c r="AS82" i="3"/>
  <c r="AN16" i="3"/>
  <c r="AT16" i="3" s="1"/>
  <c r="AO16" i="3"/>
  <c r="J16" i="3"/>
  <c r="AR72" i="3"/>
  <c r="AS72" i="3"/>
  <c r="AR7" i="3"/>
  <c r="AS7" i="3"/>
  <c r="AU7" i="3"/>
  <c r="J51" i="3"/>
  <c r="AN51" i="3"/>
  <c r="AT51" i="3" s="1"/>
  <c r="AO51" i="3"/>
  <c r="AU44" i="3"/>
  <c r="AN76" i="3"/>
  <c r="AT76" i="3" s="1"/>
  <c r="AO76" i="3"/>
  <c r="J76" i="3"/>
  <c r="AN57" i="3"/>
  <c r="AT57" i="3" s="1"/>
  <c r="AO57" i="3"/>
  <c r="J57" i="3"/>
  <c r="AU29" i="3"/>
  <c r="AR12" i="3"/>
  <c r="AS12" i="3"/>
  <c r="AN69" i="3"/>
  <c r="AO69" i="3"/>
  <c r="J69" i="3"/>
  <c r="AR45" i="3"/>
  <c r="AS45" i="3"/>
  <c r="AR62" i="3"/>
  <c r="AS62" i="3"/>
  <c r="AU62" i="3"/>
  <c r="AN23" i="3"/>
  <c r="AT23" i="3" s="1"/>
  <c r="AO23" i="3"/>
  <c r="J23" i="3"/>
  <c r="J35" i="3"/>
  <c r="AN35" i="3"/>
  <c r="AT35" i="3" s="1"/>
  <c r="AO35" i="3"/>
  <c r="AN63" i="3"/>
  <c r="AT63" i="3" s="1"/>
  <c r="AO63" i="3"/>
  <c r="J63" i="3"/>
  <c r="AS50" i="3"/>
  <c r="AR50" i="3"/>
  <c r="AU50" i="3"/>
  <c r="AN65" i="3"/>
  <c r="AT65" i="3" s="1"/>
  <c r="AO65" i="3"/>
  <c r="J65" i="3"/>
  <c r="AR67" i="3"/>
  <c r="AS67" i="3"/>
  <c r="AU67" i="3"/>
  <c r="AR70" i="3"/>
  <c r="AS70" i="3"/>
  <c r="AU70" i="3"/>
  <c r="AR31" i="3"/>
  <c r="AS31" i="3"/>
  <c r="AU31" i="3"/>
  <c r="AR17" i="3"/>
  <c r="AS17" i="3"/>
  <c r="AQ11" i="3"/>
  <c r="AW11" i="3" s="1"/>
  <c r="M11" i="3"/>
  <c r="AP11" i="3"/>
  <c r="AV11" i="3" s="1"/>
  <c r="AN71" i="3"/>
  <c r="AT71" i="3" s="1"/>
  <c r="AO71" i="3"/>
  <c r="J71" i="3"/>
  <c r="AR9" i="3"/>
  <c r="AS9" i="3"/>
  <c r="AR8" i="3"/>
  <c r="AS8" i="3"/>
  <c r="AO88" i="3"/>
  <c r="AN88" i="3"/>
  <c r="AT88" i="3" s="1"/>
  <c r="J88" i="3"/>
  <c r="AR77" i="3"/>
  <c r="AS77" i="3"/>
  <c r="AS92" i="3"/>
  <c r="AR92" i="3"/>
  <c r="AU81" i="3"/>
  <c r="AR64" i="3"/>
  <c r="AS64" i="3"/>
  <c r="AR59" i="3"/>
  <c r="AS59" i="3"/>
  <c r="AU59" i="3"/>
  <c r="AR53" i="3"/>
  <c r="AS53" i="3"/>
  <c r="AR86" i="3"/>
  <c r="AS86" i="3"/>
  <c r="AU86" i="3"/>
  <c r="AR68" i="3"/>
  <c r="AS68" i="3"/>
  <c r="AU68" i="3"/>
  <c r="AR36" i="3"/>
  <c r="AS36" i="3"/>
  <c r="AU36" i="3"/>
  <c r="AR78" i="3"/>
  <c r="AS78" i="3"/>
  <c r="AU78" i="3"/>
  <c r="AR4" i="3"/>
  <c r="AS4" i="3"/>
  <c r="AU4" i="3"/>
  <c r="AR56" i="3"/>
  <c r="AS56" i="3"/>
  <c r="AR28" i="3"/>
  <c r="AS28" i="3"/>
  <c r="AU28" i="3"/>
  <c r="AR54" i="3"/>
  <c r="AS54" i="3"/>
  <c r="AU54" i="3"/>
  <c r="AR90" i="3"/>
  <c r="AS90" i="3"/>
  <c r="AR39" i="3"/>
  <c r="AS39" i="3"/>
  <c r="AU39" i="3"/>
  <c r="AR33" i="3"/>
  <c r="AS33" i="3"/>
  <c r="AU33" i="3"/>
  <c r="AR61" i="3"/>
  <c r="AS61" i="3"/>
  <c r="AR48" i="3"/>
  <c r="AS48" i="3"/>
  <c r="J43" i="3"/>
  <c r="AN43" i="3"/>
  <c r="AT43" i="3" s="1"/>
  <c r="AO43" i="3"/>
  <c r="AS89" i="3"/>
  <c r="AR89" i="3"/>
  <c r="AU89" i="3"/>
  <c r="AR3" i="3"/>
  <c r="AS3" i="3"/>
  <c r="AR52" i="3"/>
  <c r="AS52" i="3"/>
  <c r="AU52" i="3"/>
  <c r="AR24" i="3"/>
  <c r="AS24" i="3"/>
  <c r="AO73" i="3"/>
  <c r="J73" i="3"/>
  <c r="AN73" i="3"/>
  <c r="AT73" i="3" s="1"/>
  <c r="AR30" i="3"/>
  <c r="AS30" i="3"/>
  <c r="AU30" i="3"/>
  <c r="AR5" i="3"/>
  <c r="AU5" i="3"/>
  <c r="AU45" i="3"/>
  <c r="AR49" i="3"/>
  <c r="AS49" i="3"/>
  <c r="AR41" i="3"/>
  <c r="AS41" i="3"/>
  <c r="AU41" i="3"/>
  <c r="AS55" i="3"/>
  <c r="AR55" i="3"/>
  <c r="AR37" i="3"/>
  <c r="AS37" i="3"/>
  <c r="M81" i="3"/>
  <c r="AP81" i="3"/>
  <c r="AV81" i="3" s="1"/>
  <c r="AQ81" i="3"/>
  <c r="AW81" i="3" s="1"/>
  <c r="J85" i="3"/>
  <c r="AO85" i="3"/>
  <c r="AN85" i="3"/>
  <c r="AT85" i="3" s="1"/>
  <c r="AU9" i="3"/>
  <c r="AR66" i="3"/>
  <c r="AS66" i="3"/>
  <c r="AU66" i="3"/>
  <c r="AR32" i="3"/>
  <c r="AS32" i="3"/>
  <c r="AU20" i="3"/>
  <c r="AR58" i="3"/>
  <c r="AS58" i="3"/>
  <c r="AU58" i="3"/>
  <c r="AR60" i="3"/>
  <c r="AS60" i="3"/>
  <c r="AU60" i="3"/>
  <c r="AU80" i="3"/>
  <c r="AW21" i="3" l="1"/>
  <c r="AS21" i="3"/>
  <c r="AR21" i="3"/>
  <c r="AS80" i="3"/>
  <c r="AR80" i="3"/>
  <c r="AR74" i="3"/>
  <c r="AS5" i="3"/>
  <c r="AW14" i="3"/>
  <c r="AR14" i="3"/>
  <c r="AS14" i="3"/>
  <c r="AU87" i="3"/>
  <c r="AR87" i="3"/>
  <c r="AS87" i="3"/>
  <c r="AR79" i="3"/>
  <c r="AS79" i="3"/>
  <c r="AW25" i="3"/>
  <c r="AR25" i="3"/>
  <c r="AS25" i="3"/>
  <c r="AR73" i="3"/>
  <c r="AS73" i="3"/>
  <c r="AU73" i="3"/>
  <c r="AS20" i="3"/>
  <c r="AS63" i="3"/>
  <c r="AR63" i="3"/>
  <c r="AU63" i="3"/>
  <c r="AR47" i="3"/>
  <c r="AS47" i="3"/>
  <c r="AU47" i="3"/>
  <c r="AR85" i="3"/>
  <c r="AS85" i="3"/>
  <c r="AU85" i="3"/>
  <c r="AR20" i="3"/>
  <c r="AS71" i="3"/>
  <c r="AR71" i="3"/>
  <c r="AU71" i="3"/>
  <c r="AR65" i="3"/>
  <c r="AS65" i="3"/>
  <c r="AU65" i="3"/>
  <c r="AR35" i="3"/>
  <c r="AS35" i="3"/>
  <c r="AU35" i="3"/>
  <c r="AS44" i="3"/>
  <c r="AR43" i="3"/>
  <c r="AS43" i="3"/>
  <c r="AU43" i="3"/>
  <c r="AS81" i="3"/>
  <c r="AR88" i="3"/>
  <c r="AS88" i="3"/>
  <c r="AU88" i="3"/>
  <c r="AR44" i="3"/>
  <c r="AR81" i="3"/>
  <c r="AR57" i="3"/>
  <c r="AS57" i="3"/>
  <c r="AU57" i="3"/>
  <c r="AS11" i="3"/>
  <c r="AS74" i="3"/>
  <c r="AR11" i="3"/>
  <c r="AR23" i="3"/>
  <c r="AS23" i="3"/>
  <c r="AU23" i="3"/>
  <c r="AR69" i="3"/>
  <c r="AS69" i="3"/>
  <c r="AR51" i="3"/>
  <c r="AS51" i="3"/>
  <c r="AU51" i="3"/>
  <c r="AR83" i="3"/>
  <c r="AS83" i="3"/>
  <c r="AU83" i="3"/>
  <c r="AS76" i="3"/>
  <c r="AR76" i="3"/>
  <c r="AU76" i="3"/>
  <c r="AR16" i="3"/>
  <c r="AS16" i="3"/>
  <c r="AU16" i="3"/>
  <c r="O70" i="2" l="1"/>
  <c r="N70" i="2"/>
  <c r="N100" i="2" l="1"/>
  <c r="N103" i="2"/>
  <c r="O100" i="2"/>
  <c r="O103" i="2"/>
  <c r="E46" i="1"/>
  <c r="E132" i="1"/>
  <c r="F46" i="1"/>
  <c r="F132" i="1"/>
  <c r="G46" i="1"/>
  <c r="G132" i="1"/>
  <c r="I46" i="1"/>
  <c r="I132" i="1"/>
  <c r="J46" i="1"/>
  <c r="J132" i="1"/>
  <c r="M46" i="1"/>
  <c r="M132" i="1"/>
  <c r="N46" i="1"/>
  <c r="N132" i="1"/>
  <c r="U46" i="1"/>
  <c r="U132" i="1"/>
  <c r="V46" i="1"/>
  <c r="V132" i="1"/>
  <c r="W46" i="1"/>
  <c r="W132" i="1"/>
  <c r="W138" i="1"/>
  <c r="W90" i="1"/>
  <c r="W10" i="1"/>
  <c r="W23" i="1"/>
  <c r="W34" i="1"/>
  <c r="W117" i="1"/>
  <c r="W105" i="1"/>
  <c r="W64" i="1"/>
  <c r="W140" i="1"/>
  <c r="W38" i="1"/>
  <c r="W97" i="1"/>
  <c r="W116" i="1"/>
  <c r="W33" i="1"/>
  <c r="W49" i="1"/>
  <c r="W100" i="1"/>
  <c r="W126" i="1"/>
  <c r="W52" i="1"/>
  <c r="W57" i="1"/>
  <c r="W13" i="1"/>
  <c r="W17" i="1"/>
  <c r="W65" i="1"/>
  <c r="W79" i="1"/>
  <c r="W92" i="1"/>
  <c r="W96" i="1"/>
  <c r="W123" i="1"/>
  <c r="W113" i="1"/>
  <c r="W81" i="1"/>
  <c r="W88" i="1"/>
  <c r="W22" i="1"/>
  <c r="W137" i="1"/>
  <c r="W131" i="1"/>
  <c r="W85" i="1"/>
  <c r="W36" i="1"/>
  <c r="N94" i="1"/>
  <c r="N10" i="1"/>
  <c r="N25" i="1"/>
  <c r="N34" i="1"/>
  <c r="N117" i="1"/>
  <c r="N105" i="1"/>
  <c r="N83" i="1"/>
  <c r="N51" i="1"/>
  <c r="N116" i="1"/>
  <c r="N49" i="1"/>
  <c r="N100" i="1"/>
  <c r="N82" i="1"/>
  <c r="N44" i="1"/>
  <c r="N57" i="1"/>
  <c r="N11" i="1"/>
  <c r="N19" i="1"/>
  <c r="N31" i="1"/>
  <c r="N32" i="1"/>
  <c r="N39" i="1"/>
  <c r="N59" i="1"/>
  <c r="N66" i="1"/>
  <c r="N76" i="1"/>
  <c r="N77" i="1"/>
  <c r="N87" i="1"/>
  <c r="N89" i="1"/>
  <c r="N104" i="1"/>
  <c r="N125" i="1"/>
  <c r="N127" i="1"/>
  <c r="N128" i="1"/>
  <c r="N141" i="1"/>
  <c r="N113" i="1"/>
  <c r="N81" i="1"/>
  <c r="N88" i="1"/>
  <c r="N22" i="1"/>
  <c r="N137" i="1"/>
  <c r="N131" i="1"/>
  <c r="N85" i="1"/>
  <c r="N36" i="1"/>
  <c r="M94" i="1"/>
  <c r="M10" i="1"/>
  <c r="M25" i="1"/>
  <c r="M34" i="1"/>
  <c r="M117" i="1"/>
  <c r="M105" i="1"/>
  <c r="M83" i="1"/>
  <c r="M51" i="1"/>
  <c r="M116" i="1"/>
  <c r="M49" i="1"/>
  <c r="M100" i="1"/>
  <c r="M82" i="1"/>
  <c r="M44" i="1"/>
  <c r="M57" i="1"/>
  <c r="M11" i="1"/>
  <c r="M19" i="1"/>
  <c r="M31" i="1"/>
  <c r="M32" i="1"/>
  <c r="M39" i="1"/>
  <c r="M59" i="1"/>
  <c r="M66" i="1"/>
  <c r="M76" i="1"/>
  <c r="M77" i="1"/>
  <c r="M87" i="1"/>
  <c r="M89" i="1"/>
  <c r="M104" i="1"/>
  <c r="M125" i="1"/>
  <c r="M127" i="1"/>
  <c r="M128" i="1"/>
  <c r="M141" i="1"/>
  <c r="M113" i="1"/>
  <c r="M81" i="1"/>
  <c r="M88" i="1"/>
  <c r="M22" i="1"/>
  <c r="M137" i="1"/>
  <c r="M131" i="1"/>
  <c r="M85" i="1"/>
  <c r="M36" i="1"/>
  <c r="J94" i="1"/>
  <c r="J10" i="1"/>
  <c r="J25" i="1"/>
  <c r="J34" i="1"/>
  <c r="J117" i="1"/>
  <c r="J105" i="1"/>
  <c r="J83" i="1"/>
  <c r="J51" i="1"/>
  <c r="J116" i="1"/>
  <c r="J49" i="1"/>
  <c r="J100" i="1"/>
  <c r="J82" i="1"/>
  <c r="J44" i="1"/>
  <c r="J57" i="1"/>
  <c r="J11" i="1"/>
  <c r="J19" i="1"/>
  <c r="J31" i="1"/>
  <c r="J32" i="1"/>
  <c r="J39" i="1"/>
  <c r="J59" i="1"/>
  <c r="J66" i="1"/>
  <c r="J76" i="1"/>
  <c r="J77" i="1"/>
  <c r="J87" i="1"/>
  <c r="J89" i="1"/>
  <c r="J104" i="1"/>
  <c r="J125" i="1"/>
  <c r="J127" i="1"/>
  <c r="J128" i="1"/>
  <c r="J141" i="1"/>
  <c r="J113" i="1"/>
  <c r="J81" i="1"/>
  <c r="J88" i="1"/>
  <c r="J22" i="1"/>
  <c r="J137" i="1"/>
  <c r="J131" i="1"/>
  <c r="J85" i="1"/>
  <c r="J36" i="1"/>
  <c r="I94" i="1"/>
  <c r="I10" i="1"/>
  <c r="I25" i="1"/>
  <c r="I34" i="1"/>
  <c r="I117" i="1"/>
  <c r="I105" i="1"/>
  <c r="I83" i="1"/>
  <c r="I51" i="1"/>
  <c r="I116" i="1"/>
  <c r="I49" i="1"/>
  <c r="I100" i="1"/>
  <c r="I82" i="1"/>
  <c r="I44" i="1"/>
  <c r="I57" i="1"/>
  <c r="I11" i="1"/>
  <c r="I19" i="1"/>
  <c r="I31" i="1"/>
  <c r="I32" i="1"/>
  <c r="I39" i="1"/>
  <c r="I59" i="1"/>
  <c r="I66" i="1"/>
  <c r="I76" i="1"/>
  <c r="I77" i="1"/>
  <c r="I87" i="1"/>
  <c r="I89" i="1"/>
  <c r="I104" i="1"/>
  <c r="I125" i="1"/>
  <c r="I127" i="1"/>
  <c r="I128" i="1"/>
  <c r="I141" i="1"/>
  <c r="I113" i="1"/>
  <c r="I81" i="1"/>
  <c r="I88" i="1"/>
  <c r="I22" i="1"/>
  <c r="I137" i="1"/>
  <c r="I131" i="1"/>
  <c r="I85" i="1"/>
  <c r="I36" i="1"/>
  <c r="G13" i="1"/>
  <c r="G17" i="1"/>
  <c r="G35" i="1"/>
  <c r="G65" i="1"/>
  <c r="G79" i="1"/>
  <c r="G92" i="1"/>
  <c r="G96" i="1"/>
  <c r="G114" i="1"/>
  <c r="G118" i="1"/>
  <c r="G123" i="1"/>
  <c r="G11" i="1"/>
  <c r="G19" i="1"/>
  <c r="G31" i="1"/>
  <c r="G32" i="1"/>
  <c r="G39" i="1"/>
  <c r="G59" i="1"/>
  <c r="G66" i="1"/>
  <c r="G76" i="1"/>
  <c r="G77" i="1"/>
  <c r="G87" i="1"/>
  <c r="G89" i="1"/>
  <c r="G104" i="1"/>
  <c r="G125" i="1"/>
  <c r="G127" i="1"/>
  <c r="G128" i="1"/>
  <c r="G141" i="1"/>
  <c r="G113" i="1"/>
  <c r="G81" i="1"/>
  <c r="G88" i="1"/>
  <c r="G22" i="1"/>
  <c r="G137" i="1"/>
  <c r="G131" i="1"/>
  <c r="G85" i="1"/>
  <c r="G36" i="1"/>
  <c r="S138" i="1"/>
  <c r="S133" i="1"/>
  <c r="S112" i="1"/>
  <c r="S94" i="1"/>
  <c r="S34" i="1"/>
  <c r="S117" i="1"/>
  <c r="S60" i="1"/>
  <c r="S80" i="1"/>
  <c r="S101" i="1"/>
  <c r="S83" i="1"/>
  <c r="S64" i="1"/>
  <c r="S124" i="1"/>
  <c r="S135" i="1"/>
  <c r="S15" i="1"/>
  <c r="S38" i="1"/>
  <c r="S106" i="1"/>
  <c r="S44" i="1"/>
  <c r="S110" i="1"/>
  <c r="S57" i="1"/>
  <c r="S13" i="1"/>
  <c r="S17" i="1"/>
  <c r="S65" i="1"/>
  <c r="S92" i="1"/>
  <c r="S96" i="1"/>
  <c r="S114" i="1"/>
  <c r="S123" i="1"/>
  <c r="S11" i="1"/>
  <c r="S19" i="1"/>
  <c r="S31" i="1"/>
  <c r="S32" i="1"/>
  <c r="S39" i="1"/>
  <c r="S59" i="1"/>
  <c r="S66" i="1"/>
  <c r="S76" i="1"/>
  <c r="S77" i="1"/>
  <c r="S87" i="1"/>
  <c r="S127" i="1"/>
  <c r="S141" i="1"/>
  <c r="Q138" i="1"/>
  <c r="R138" i="1"/>
  <c r="Q133" i="1"/>
  <c r="R133" i="1"/>
  <c r="Q112" i="1"/>
  <c r="R112" i="1"/>
  <c r="Q94" i="1"/>
  <c r="R94" i="1"/>
  <c r="Q34" i="1"/>
  <c r="R34" i="1"/>
  <c r="Q117" i="1"/>
  <c r="R117" i="1"/>
  <c r="Q60" i="1"/>
  <c r="R60" i="1"/>
  <c r="Q80" i="1"/>
  <c r="R80" i="1"/>
  <c r="Q101" i="1"/>
  <c r="R101" i="1"/>
  <c r="Q83" i="1"/>
  <c r="R83" i="1"/>
  <c r="Q64" i="1"/>
  <c r="R64" i="1"/>
  <c r="Q124" i="1"/>
  <c r="R124" i="1"/>
  <c r="Q135" i="1"/>
  <c r="R135" i="1"/>
  <c r="Q15" i="1"/>
  <c r="R15" i="1"/>
  <c r="Q38" i="1"/>
  <c r="R38" i="1"/>
  <c r="Q106" i="1"/>
  <c r="R106" i="1"/>
  <c r="Q44" i="1"/>
  <c r="R44" i="1"/>
  <c r="Q110" i="1"/>
  <c r="R110" i="1"/>
  <c r="Q57" i="1"/>
  <c r="R57" i="1"/>
  <c r="Q13" i="1"/>
  <c r="R13" i="1"/>
  <c r="Q17" i="1"/>
  <c r="R17" i="1"/>
  <c r="Q65" i="1"/>
  <c r="R65" i="1"/>
  <c r="Q92" i="1"/>
  <c r="R92" i="1"/>
  <c r="Q96" i="1"/>
  <c r="R96" i="1"/>
  <c r="Q114" i="1"/>
  <c r="R114" i="1"/>
  <c r="Q123" i="1"/>
  <c r="R123" i="1"/>
  <c r="Q11" i="1"/>
  <c r="R11" i="1"/>
  <c r="Q19" i="1"/>
  <c r="R19" i="1"/>
  <c r="Q31" i="1"/>
  <c r="R31" i="1"/>
  <c r="Q32" i="1"/>
  <c r="R32" i="1"/>
  <c r="Q39" i="1"/>
  <c r="R39" i="1"/>
  <c r="Q59" i="1"/>
  <c r="R59" i="1"/>
  <c r="Q66" i="1"/>
  <c r="R66" i="1"/>
  <c r="Q76" i="1"/>
  <c r="R76" i="1"/>
  <c r="Q77" i="1"/>
  <c r="R77" i="1"/>
  <c r="Q87" i="1"/>
  <c r="R87" i="1"/>
  <c r="Q127" i="1"/>
  <c r="R127" i="1"/>
  <c r="Q141" i="1"/>
  <c r="R141" i="1"/>
  <c r="S72" i="1"/>
  <c r="S45" i="1"/>
  <c r="R79" i="1"/>
  <c r="Q132" i="1"/>
  <c r="R132" i="1"/>
  <c r="Q103" i="1"/>
  <c r="R63" i="1"/>
  <c r="Q14" i="1"/>
  <c r="R100" i="1"/>
  <c r="Q46" i="1"/>
  <c r="R82" i="1"/>
  <c r="R105" i="1"/>
  <c r="Q99" i="1"/>
  <c r="S98" i="1"/>
  <c r="R41" i="1"/>
  <c r="Q36" i="1"/>
  <c r="S90" i="1"/>
  <c r="R20" i="1"/>
  <c r="Q85" i="1"/>
  <c r="R85" i="1"/>
  <c r="S18" i="1"/>
  <c r="R18" i="1"/>
  <c r="Q107" i="1"/>
  <c r="R107" i="1"/>
  <c r="R128" i="1"/>
  <c r="Q37" i="1"/>
  <c r="S102" i="1"/>
  <c r="Q33" i="1"/>
  <c r="Q75" i="1"/>
  <c r="R75" i="1"/>
  <c r="Q47" i="1"/>
  <c r="R47" i="1"/>
  <c r="Q125" i="1"/>
  <c r="R125" i="1"/>
  <c r="Q49" i="1"/>
  <c r="Q51" i="1"/>
  <c r="R86" i="1"/>
  <c r="R26" i="1"/>
  <c r="Q118" i="1"/>
  <c r="R118" i="1"/>
  <c r="R116" i="1"/>
  <c r="Q21" i="1"/>
  <c r="S21" i="1"/>
  <c r="S93" i="1"/>
  <c r="R24" i="1"/>
  <c r="S48" i="1"/>
  <c r="R73" i="1"/>
  <c r="Q56" i="1"/>
  <c r="R56" i="1"/>
  <c r="Q35" i="1"/>
  <c r="R129" i="1"/>
  <c r="Q50" i="1"/>
  <c r="R50" i="1"/>
  <c r="Q70" i="1"/>
  <c r="R70" i="1"/>
  <c r="Q42" i="1"/>
  <c r="R42" i="1"/>
  <c r="S30" i="1"/>
  <c r="R30" i="1"/>
  <c r="Q108" i="1"/>
  <c r="R67" i="1"/>
  <c r="R27" i="1"/>
  <c r="Q122" i="1"/>
  <c r="R122" i="1"/>
  <c r="Q89" i="1"/>
  <c r="Q71" i="1"/>
  <c r="R71" i="1"/>
  <c r="R97" i="1"/>
  <c r="Q137" i="1"/>
  <c r="Q52" i="1"/>
  <c r="R52" i="1"/>
  <c r="S62" i="1"/>
  <c r="Q22" i="1"/>
  <c r="Q119" i="1"/>
  <c r="S55" i="1"/>
  <c r="R55" i="1"/>
  <c r="Q115" i="1"/>
  <c r="S78" i="1"/>
  <c r="R78" i="1"/>
  <c r="Q28" i="1"/>
  <c r="Q61" i="1"/>
  <c r="R61" i="1"/>
  <c r="Q88" i="1"/>
  <c r="R88" i="1"/>
  <c r="Q81" i="1"/>
  <c r="R23" i="1"/>
  <c r="R113" i="1"/>
  <c r="R29" i="1"/>
  <c r="Q140" i="1"/>
  <c r="Q12" i="1"/>
  <c r="Q68" i="1"/>
  <c r="AE1" i="5"/>
  <c r="U138" i="1"/>
  <c r="V138" i="1"/>
  <c r="U90" i="1"/>
  <c r="V90" i="1"/>
  <c r="U10" i="1"/>
  <c r="V10" i="1"/>
  <c r="U23" i="1"/>
  <c r="V23" i="1"/>
  <c r="U34" i="1"/>
  <c r="V34" i="1"/>
  <c r="U117" i="1"/>
  <c r="V117" i="1"/>
  <c r="U105" i="1"/>
  <c r="V105" i="1"/>
  <c r="U64" i="1"/>
  <c r="V64" i="1"/>
  <c r="U140" i="1"/>
  <c r="V140" i="1"/>
  <c r="U38" i="1"/>
  <c r="V38" i="1"/>
  <c r="U97" i="1"/>
  <c r="V97" i="1"/>
  <c r="U116" i="1"/>
  <c r="V116" i="1"/>
  <c r="U33" i="1"/>
  <c r="V33" i="1"/>
  <c r="U49" i="1"/>
  <c r="V49" i="1"/>
  <c r="U100" i="1"/>
  <c r="V100" i="1"/>
  <c r="U126" i="1"/>
  <c r="V126" i="1"/>
  <c r="U52" i="1"/>
  <c r="V52" i="1"/>
  <c r="U57" i="1"/>
  <c r="V57" i="1"/>
  <c r="U13" i="1"/>
  <c r="V13" i="1"/>
  <c r="U17" i="1"/>
  <c r="V17" i="1"/>
  <c r="U65" i="1"/>
  <c r="V65" i="1"/>
  <c r="U79" i="1"/>
  <c r="V79" i="1"/>
  <c r="U92" i="1"/>
  <c r="V92" i="1"/>
  <c r="U96" i="1"/>
  <c r="V96" i="1"/>
  <c r="U123" i="1"/>
  <c r="V123" i="1"/>
  <c r="U113" i="1"/>
  <c r="V113" i="1"/>
  <c r="U81" i="1"/>
  <c r="V81" i="1"/>
  <c r="U88" i="1"/>
  <c r="V88" i="1"/>
  <c r="U22" i="1"/>
  <c r="V22" i="1"/>
  <c r="U137" i="1"/>
  <c r="V137" i="1"/>
  <c r="U131" i="1"/>
  <c r="V131" i="1"/>
  <c r="U85" i="1"/>
  <c r="V85" i="1"/>
  <c r="U36" i="1"/>
  <c r="V36" i="1"/>
  <c r="U141" i="1"/>
  <c r="U136" i="1"/>
  <c r="V136" i="1"/>
  <c r="U135" i="1"/>
  <c r="V135" i="1"/>
  <c r="V134" i="1"/>
  <c r="U128" i="1"/>
  <c r="U127" i="1"/>
  <c r="U125" i="1"/>
  <c r="U124" i="1"/>
  <c r="V124" i="1"/>
  <c r="V122" i="1"/>
  <c r="V120" i="1"/>
  <c r="U119" i="1"/>
  <c r="U118" i="1"/>
  <c r="V118" i="1"/>
  <c r="V115" i="1"/>
  <c r="U114" i="1"/>
  <c r="U112" i="1"/>
  <c r="V112" i="1"/>
  <c r="U107" i="1"/>
  <c r="V107" i="1"/>
  <c r="U106" i="1"/>
  <c r="V106" i="1"/>
  <c r="U103" i="1"/>
  <c r="V103" i="1"/>
  <c r="U101" i="1"/>
  <c r="V99" i="1"/>
  <c r="U95" i="1"/>
  <c r="U94" i="1"/>
  <c r="U93" i="1"/>
  <c r="V93" i="1"/>
  <c r="U91" i="1"/>
  <c r="V89" i="1"/>
  <c r="U87" i="1"/>
  <c r="V87" i="1"/>
  <c r="V86" i="1"/>
  <c r="U84" i="1"/>
  <c r="U83" i="1"/>
  <c r="U82" i="1"/>
  <c r="V80" i="1"/>
  <c r="U78" i="1"/>
  <c r="U77" i="1"/>
  <c r="V77" i="1"/>
  <c r="U76" i="1"/>
  <c r="V76" i="1"/>
  <c r="U74" i="1"/>
  <c r="V73" i="1"/>
  <c r="V72" i="1"/>
  <c r="U71" i="1"/>
  <c r="V70" i="1"/>
  <c r="U69" i="1"/>
  <c r="U67" i="1"/>
  <c r="V66" i="1"/>
  <c r="U63" i="1"/>
  <c r="U61" i="1"/>
  <c r="V61" i="1"/>
  <c r="V60" i="1"/>
  <c r="U59" i="1"/>
  <c r="V58" i="1"/>
  <c r="U56" i="1"/>
  <c r="V56" i="1"/>
  <c r="V55" i="1"/>
  <c r="U54" i="1"/>
  <c r="V53" i="1"/>
  <c r="U51" i="1"/>
  <c r="V51" i="1"/>
  <c r="V50" i="1"/>
  <c r="U48" i="1"/>
  <c r="U47" i="1"/>
  <c r="V47" i="1"/>
  <c r="U45" i="1"/>
  <c r="V45" i="1"/>
  <c r="U43" i="1"/>
  <c r="U42" i="1"/>
  <c r="V42" i="1"/>
  <c r="U41" i="1"/>
  <c r="V41" i="1"/>
  <c r="V40" i="1"/>
  <c r="U37" i="1"/>
  <c r="U35" i="1"/>
  <c r="U30" i="1"/>
  <c r="V29" i="1"/>
  <c r="V28" i="1"/>
  <c r="U27" i="1"/>
  <c r="U15" i="1"/>
  <c r="V14" i="1"/>
  <c r="E2" i="4"/>
  <c r="AC1" i="4"/>
  <c r="M140" i="1"/>
  <c r="J139" i="1"/>
  <c r="N139" i="1"/>
  <c r="I136" i="1"/>
  <c r="N136" i="1"/>
  <c r="O135" i="1"/>
  <c r="J135" i="1"/>
  <c r="M135" i="1"/>
  <c r="K133" i="1"/>
  <c r="N133" i="1"/>
  <c r="J130" i="1"/>
  <c r="M130" i="1"/>
  <c r="N130" i="1"/>
  <c r="I129" i="1"/>
  <c r="N129" i="1"/>
  <c r="J126" i="1"/>
  <c r="M126" i="1"/>
  <c r="J124" i="1"/>
  <c r="I123" i="1"/>
  <c r="N123" i="1"/>
  <c r="J122" i="1"/>
  <c r="N122" i="1"/>
  <c r="I121" i="1"/>
  <c r="J121" i="1"/>
  <c r="N121" i="1"/>
  <c r="I120" i="1"/>
  <c r="J120" i="1"/>
  <c r="O120" i="1"/>
  <c r="I119" i="1"/>
  <c r="J119" i="1"/>
  <c r="N119" i="1"/>
  <c r="J118" i="1"/>
  <c r="N118" i="1"/>
  <c r="I115" i="1"/>
  <c r="M115" i="1"/>
  <c r="I114" i="1"/>
  <c r="J114" i="1"/>
  <c r="K112" i="1"/>
  <c r="N112" i="1"/>
  <c r="K111" i="1"/>
  <c r="M111" i="1"/>
  <c r="K110" i="1"/>
  <c r="J110" i="1"/>
  <c r="M110" i="1"/>
  <c r="N110" i="1"/>
  <c r="I109" i="1"/>
  <c r="J109" i="1"/>
  <c r="M109" i="1"/>
  <c r="O108" i="1"/>
  <c r="M108" i="1"/>
  <c r="N108" i="1"/>
  <c r="J107" i="1"/>
  <c r="M107" i="1"/>
  <c r="I106" i="1"/>
  <c r="M106" i="1"/>
  <c r="J103" i="1"/>
  <c r="M103" i="1"/>
  <c r="N103" i="1"/>
  <c r="J102" i="1"/>
  <c r="M102" i="1"/>
  <c r="I101" i="1"/>
  <c r="J101" i="1"/>
  <c r="O101" i="1"/>
  <c r="I99" i="1"/>
  <c r="M99" i="1"/>
  <c r="J98" i="1"/>
  <c r="M98" i="1"/>
  <c r="N98" i="1"/>
  <c r="M97" i="1"/>
  <c r="I96" i="1"/>
  <c r="J96" i="1"/>
  <c r="O96" i="1"/>
  <c r="I95" i="1"/>
  <c r="N95" i="1"/>
  <c r="J93" i="1"/>
  <c r="M93" i="1"/>
  <c r="N93" i="1"/>
  <c r="J92" i="1"/>
  <c r="M92" i="1"/>
  <c r="J91" i="1"/>
  <c r="N91" i="1"/>
  <c r="J90" i="1"/>
  <c r="M90" i="1"/>
  <c r="N90" i="1"/>
  <c r="M86" i="1"/>
  <c r="N86" i="1"/>
  <c r="I84" i="1"/>
  <c r="J84" i="1"/>
  <c r="M84" i="1"/>
  <c r="M80" i="1"/>
  <c r="N80" i="1"/>
  <c r="J79" i="1"/>
  <c r="M79" i="1"/>
  <c r="M78" i="1"/>
  <c r="N78" i="1"/>
  <c r="I75" i="1"/>
  <c r="M75" i="1"/>
  <c r="N75" i="1"/>
  <c r="I74" i="1"/>
  <c r="N74" i="1"/>
  <c r="O73" i="1"/>
  <c r="J73" i="1"/>
  <c r="M73" i="1"/>
  <c r="N73" i="1"/>
  <c r="I72" i="1"/>
  <c r="J72" i="1"/>
  <c r="N72" i="1"/>
  <c r="O71" i="1"/>
  <c r="I71" i="1"/>
  <c r="M71" i="1"/>
  <c r="N71" i="1"/>
  <c r="I70" i="1"/>
  <c r="J70" i="1"/>
  <c r="M70" i="1"/>
  <c r="N70" i="1"/>
  <c r="I69" i="1"/>
  <c r="K69" i="1"/>
  <c r="M69" i="1"/>
  <c r="I68" i="1"/>
  <c r="J68" i="1"/>
  <c r="N68" i="1"/>
  <c r="J67" i="1"/>
  <c r="J65" i="1"/>
  <c r="J64" i="1"/>
  <c r="M64" i="1"/>
  <c r="N64" i="1"/>
  <c r="I63" i="1"/>
  <c r="J63" i="1"/>
  <c r="J62" i="1"/>
  <c r="M62" i="1"/>
  <c r="N62" i="1"/>
  <c r="K61" i="1"/>
  <c r="J61" i="1"/>
  <c r="J60" i="1"/>
  <c r="M60" i="1"/>
  <c r="N60" i="1"/>
  <c r="J56" i="1"/>
  <c r="M56" i="1"/>
  <c r="I54" i="1"/>
  <c r="I53" i="1"/>
  <c r="M53" i="1"/>
  <c r="M52" i="1"/>
  <c r="O52" i="1"/>
  <c r="J50" i="1"/>
  <c r="M50" i="1"/>
  <c r="J48" i="1"/>
  <c r="M48" i="1"/>
  <c r="I47" i="1"/>
  <c r="M47" i="1"/>
  <c r="N47" i="1"/>
  <c r="J45" i="1"/>
  <c r="M45" i="1"/>
  <c r="M43" i="1"/>
  <c r="I42" i="1"/>
  <c r="M42" i="1"/>
  <c r="O42" i="1"/>
  <c r="I41" i="1"/>
  <c r="M41" i="1"/>
  <c r="M40" i="1"/>
  <c r="N40" i="1"/>
  <c r="I38" i="1"/>
  <c r="J38" i="1"/>
  <c r="M38" i="1"/>
  <c r="J37" i="1"/>
  <c r="N37" i="1"/>
  <c r="N35" i="1"/>
  <c r="J33" i="1"/>
  <c r="M30" i="1"/>
  <c r="N30" i="1"/>
  <c r="BM16" i="3"/>
  <c r="M29" i="1"/>
  <c r="O29" i="1"/>
  <c r="M28" i="1"/>
  <c r="J27" i="1"/>
  <c r="J26" i="1"/>
  <c r="I24" i="1"/>
  <c r="M24" i="1"/>
  <c r="I23" i="1"/>
  <c r="J23" i="1"/>
  <c r="I21" i="1"/>
  <c r="I20" i="1"/>
  <c r="J20" i="1"/>
  <c r="I18" i="1"/>
  <c r="J18" i="1"/>
  <c r="I17" i="1"/>
  <c r="J17" i="1"/>
  <c r="M17" i="1"/>
  <c r="I16" i="1"/>
  <c r="J16" i="1"/>
  <c r="I15" i="1"/>
  <c r="N15" i="1"/>
  <c r="I14" i="1"/>
  <c r="N14" i="1"/>
  <c r="BH3" i="3"/>
  <c r="BG3" i="3"/>
  <c r="M13" i="1"/>
  <c r="N12" i="1"/>
  <c r="AY2" i="3"/>
  <c r="G2" i="3"/>
  <c r="F13" i="1"/>
  <c r="F17" i="1"/>
  <c r="F35" i="1"/>
  <c r="F65" i="1"/>
  <c r="F79" i="1"/>
  <c r="F92" i="1"/>
  <c r="F96" i="1"/>
  <c r="F114" i="1"/>
  <c r="F118" i="1"/>
  <c r="F123" i="1"/>
  <c r="F11" i="1"/>
  <c r="F19" i="1"/>
  <c r="F31" i="1"/>
  <c r="F32" i="1"/>
  <c r="F39" i="1"/>
  <c r="F59" i="1"/>
  <c r="F66" i="1"/>
  <c r="F76" i="1"/>
  <c r="F77" i="1"/>
  <c r="F87" i="1"/>
  <c r="F89" i="1"/>
  <c r="F104" i="1"/>
  <c r="F125" i="1"/>
  <c r="F127" i="1"/>
  <c r="F128" i="1"/>
  <c r="F141" i="1"/>
  <c r="F113" i="1"/>
  <c r="F81" i="1"/>
  <c r="F88" i="1"/>
  <c r="F22" i="1"/>
  <c r="F137" i="1"/>
  <c r="F131" i="1"/>
  <c r="F85" i="1"/>
  <c r="F36" i="1"/>
  <c r="E109" i="1"/>
  <c r="E13" i="1"/>
  <c r="E17" i="1"/>
  <c r="E35" i="1"/>
  <c r="E65" i="1"/>
  <c r="E79" i="1"/>
  <c r="E92" i="1"/>
  <c r="E96" i="1"/>
  <c r="E114" i="1"/>
  <c r="E118" i="1"/>
  <c r="E123" i="1"/>
  <c r="E11" i="1"/>
  <c r="E19" i="1"/>
  <c r="E31" i="1"/>
  <c r="E32" i="1"/>
  <c r="E39" i="1"/>
  <c r="E59" i="1"/>
  <c r="E66" i="1"/>
  <c r="E76" i="1"/>
  <c r="E77" i="1"/>
  <c r="E87" i="1"/>
  <c r="E89" i="1"/>
  <c r="E104" i="1"/>
  <c r="E125" i="1"/>
  <c r="E127" i="1"/>
  <c r="E128" i="1"/>
  <c r="E141" i="1"/>
  <c r="E113" i="1"/>
  <c r="E81" i="1"/>
  <c r="E88" i="1"/>
  <c r="E22" i="1"/>
  <c r="E137" i="1"/>
  <c r="E131" i="1"/>
  <c r="E85" i="1"/>
  <c r="E36" i="1"/>
  <c r="E73" i="1"/>
  <c r="X51" i="2"/>
  <c r="W51" i="2"/>
  <c r="T34" i="2"/>
  <c r="E34" i="2"/>
  <c r="E45" i="1"/>
  <c r="H27" i="2"/>
  <c r="E57" i="1"/>
  <c r="F57" i="1"/>
  <c r="E58" i="1"/>
  <c r="F58" i="1"/>
  <c r="W39" i="2"/>
  <c r="E3" i="2"/>
  <c r="F93" i="1"/>
  <c r="E44" i="1"/>
  <c r="F44" i="1"/>
  <c r="F29" i="1"/>
  <c r="H16" i="2"/>
  <c r="E18" i="1"/>
  <c r="F18" i="1"/>
  <c r="X7" i="2"/>
  <c r="E68" i="1"/>
  <c r="S46" i="2"/>
  <c r="E62" i="1"/>
  <c r="F62" i="1"/>
  <c r="X42" i="2"/>
  <c r="E106" i="1"/>
  <c r="S73" i="2"/>
  <c r="F52" i="1"/>
  <c r="E134" i="1"/>
  <c r="X92" i="2"/>
  <c r="T88" i="2"/>
  <c r="F126" i="1"/>
  <c r="E100" i="1"/>
  <c r="F100" i="1"/>
  <c r="F26" i="1"/>
  <c r="H13" i="2"/>
  <c r="F84" i="1"/>
  <c r="X58" i="2"/>
  <c r="E54" i="1"/>
  <c r="F54" i="1"/>
  <c r="E49" i="1"/>
  <c r="E67" i="1"/>
  <c r="F67" i="1"/>
  <c r="X45" i="2"/>
  <c r="E45" i="2"/>
  <c r="G33" i="1"/>
  <c r="E33" i="1"/>
  <c r="E98" i="1"/>
  <c r="F98" i="1"/>
  <c r="X66" i="2"/>
  <c r="E116" i="1"/>
  <c r="E81" i="2"/>
  <c r="E129" i="1"/>
  <c r="F129" i="1"/>
  <c r="X89" i="2"/>
  <c r="H89" i="2"/>
  <c r="E89" i="2"/>
  <c r="E38" i="1"/>
  <c r="F38" i="1"/>
  <c r="H21" i="2"/>
  <c r="W5" i="2"/>
  <c r="E86" i="1"/>
  <c r="F86" i="1"/>
  <c r="X59" i="2"/>
  <c r="E43" i="1"/>
  <c r="W25" i="2"/>
  <c r="E136" i="1"/>
  <c r="E71" i="1"/>
  <c r="S49" i="2"/>
  <c r="H75" i="2"/>
  <c r="E51" i="1"/>
  <c r="X32" i="2"/>
  <c r="F139" i="1"/>
  <c r="E75" i="1"/>
  <c r="E95" i="1"/>
  <c r="F95" i="1"/>
  <c r="X64" i="2"/>
  <c r="W64" i="2"/>
  <c r="F28" i="1"/>
  <c r="H15" i="2"/>
  <c r="E140" i="1"/>
  <c r="X97" i="2"/>
  <c r="E48" i="1"/>
  <c r="F48" i="1"/>
  <c r="E72" i="1"/>
  <c r="E135" i="1"/>
  <c r="F135" i="1"/>
  <c r="F37" i="1"/>
  <c r="E64" i="1"/>
  <c r="F64" i="1"/>
  <c r="E83" i="1"/>
  <c r="F83" i="1"/>
  <c r="X57" i="2"/>
  <c r="W57" i="2"/>
  <c r="F20" i="1"/>
  <c r="H8" i="2"/>
  <c r="W69" i="2"/>
  <c r="E120" i="1"/>
  <c r="F120" i="1"/>
  <c r="E84" i="2"/>
  <c r="G40" i="1"/>
  <c r="H22" i="2"/>
  <c r="W41" i="2"/>
  <c r="E27" i="1"/>
  <c r="F27" i="1"/>
  <c r="T14" i="2"/>
  <c r="E105" i="1"/>
  <c r="F105" i="1"/>
  <c r="F74" i="1"/>
  <c r="T17" i="2"/>
  <c r="E60" i="1"/>
  <c r="F60" i="1"/>
  <c r="X40" i="2"/>
  <c r="W40" i="2"/>
  <c r="S40" i="2"/>
  <c r="E14" i="1"/>
  <c r="X4" i="2"/>
  <c r="E4" i="2"/>
  <c r="F117" i="1"/>
  <c r="F122" i="1"/>
  <c r="E50" i="1"/>
  <c r="F42" i="1"/>
  <c r="E24" i="2"/>
  <c r="E19" i="2"/>
  <c r="E25" i="1"/>
  <c r="F25" i="1"/>
  <c r="W12" i="2"/>
  <c r="E23" i="1"/>
  <c r="X10" i="2"/>
  <c r="F24" i="1"/>
  <c r="T11" i="2"/>
  <c r="E103" i="1"/>
  <c r="T71" i="2"/>
  <c r="F78" i="1"/>
  <c r="E54" i="2"/>
  <c r="T47" i="2"/>
  <c r="G10" i="1"/>
  <c r="E10" i="1"/>
  <c r="F94" i="1"/>
  <c r="X63" i="2"/>
  <c r="W63" i="2"/>
  <c r="F107" i="1"/>
  <c r="E90" i="1"/>
  <c r="F90" i="1"/>
  <c r="X60" i="2"/>
  <c r="E55" i="1"/>
  <c r="F55" i="1"/>
  <c r="E112" i="1"/>
  <c r="F112" i="1"/>
  <c r="E111" i="1"/>
  <c r="F111" i="1"/>
  <c r="X78" i="2"/>
  <c r="E78" i="2"/>
  <c r="F133" i="1"/>
  <c r="X91" i="2"/>
  <c r="W91" i="2"/>
  <c r="F138" i="1"/>
  <c r="E102" i="1"/>
  <c r="F102" i="1"/>
  <c r="AD1" i="2"/>
  <c r="AK87" i="3" l="1"/>
  <c r="AK79" i="3"/>
  <c r="AK71" i="3"/>
  <c r="AK63" i="3"/>
  <c r="AK55" i="3"/>
  <c r="AK47" i="3"/>
  <c r="AK39" i="3"/>
  <c r="AK31" i="3"/>
  <c r="AK23" i="3"/>
  <c r="AK15" i="3"/>
  <c r="AK7" i="3"/>
  <c r="AK88" i="3"/>
  <c r="AK48" i="3"/>
  <c r="AK24" i="3"/>
  <c r="AK86" i="3"/>
  <c r="AK78" i="3"/>
  <c r="AK70" i="3"/>
  <c r="AK62" i="3"/>
  <c r="AK54" i="3"/>
  <c r="AK46" i="3"/>
  <c r="AK38" i="3"/>
  <c r="AK30" i="3"/>
  <c r="AK22" i="3"/>
  <c r="AK14" i="3"/>
  <c r="AK6" i="3"/>
  <c r="AK72" i="3"/>
  <c r="AK64" i="3"/>
  <c r="AK40" i="3"/>
  <c r="AK16" i="3"/>
  <c r="AK85" i="3"/>
  <c r="AK77" i="3"/>
  <c r="AK69" i="3"/>
  <c r="AK61" i="3"/>
  <c r="AK53" i="3"/>
  <c r="AK45" i="3"/>
  <c r="AK37" i="3"/>
  <c r="AK29" i="3"/>
  <c r="AK21" i="3"/>
  <c r="AK13" i="3"/>
  <c r="AK5" i="3"/>
  <c r="AK80" i="3"/>
  <c r="AK56" i="3"/>
  <c r="AK32" i="3"/>
  <c r="AK8" i="3"/>
  <c r="AK92" i="3"/>
  <c r="AK84" i="3"/>
  <c r="AK76" i="3"/>
  <c r="AK68" i="3"/>
  <c r="AK60" i="3"/>
  <c r="AK52" i="3"/>
  <c r="AK44" i="3"/>
  <c r="AK36" i="3"/>
  <c r="AK28" i="3"/>
  <c r="AK20" i="3"/>
  <c r="AK12" i="3"/>
  <c r="AK4" i="3"/>
  <c r="AK91" i="3"/>
  <c r="AK83" i="3"/>
  <c r="AK75" i="3"/>
  <c r="AK67" i="3"/>
  <c r="AK59" i="3"/>
  <c r="AK51" i="3"/>
  <c r="AK43" i="3"/>
  <c r="AK35" i="3"/>
  <c r="AK27" i="3"/>
  <c r="AK19" i="3"/>
  <c r="AK11" i="3"/>
  <c r="AK3" i="3"/>
  <c r="AK90" i="3"/>
  <c r="AK82" i="3"/>
  <c r="AK74" i="3"/>
  <c r="AK66" i="3"/>
  <c r="AK58" i="3"/>
  <c r="AK50" i="3"/>
  <c r="AK42" i="3"/>
  <c r="AK34" i="3"/>
  <c r="AK26" i="3"/>
  <c r="AK18" i="3"/>
  <c r="AK10" i="3"/>
  <c r="AK2" i="3"/>
  <c r="AK89" i="3"/>
  <c r="AK81" i="3"/>
  <c r="AK73" i="3"/>
  <c r="AK65" i="3"/>
  <c r="AK57" i="3"/>
  <c r="AK49" i="3"/>
  <c r="AK41" i="3"/>
  <c r="AK33" i="3"/>
  <c r="AK25" i="3"/>
  <c r="AK17" i="3"/>
  <c r="AK9" i="3"/>
  <c r="P7" i="4"/>
  <c r="P10" i="4"/>
  <c r="P16" i="4"/>
  <c r="P19" i="4"/>
  <c r="P25" i="4"/>
  <c r="P34" i="4"/>
  <c r="P51" i="4"/>
  <c r="P57" i="4"/>
  <c r="P74" i="4"/>
  <c r="P83" i="4"/>
  <c r="P85" i="4"/>
  <c r="P87" i="4"/>
  <c r="P92" i="4"/>
  <c r="P94" i="4"/>
  <c r="P96" i="4"/>
  <c r="P13" i="4"/>
  <c r="P22" i="4"/>
  <c r="P36" i="4"/>
  <c r="P39" i="4"/>
  <c r="P45" i="4"/>
  <c r="P48" i="4"/>
  <c r="P54" i="4"/>
  <c r="P65" i="4"/>
  <c r="P76" i="4"/>
  <c r="P78" i="4"/>
  <c r="P80" i="4"/>
  <c r="P89" i="4"/>
  <c r="P3" i="4"/>
  <c r="P31" i="4"/>
  <c r="P15" i="4"/>
  <c r="P24" i="4"/>
  <c r="P27" i="4"/>
  <c r="P33" i="4"/>
  <c r="P42" i="4"/>
  <c r="P56" i="4"/>
  <c r="P59" i="4"/>
  <c r="P67" i="4"/>
  <c r="P69" i="4"/>
  <c r="P71" i="4"/>
  <c r="P6" i="4"/>
  <c r="P12" i="4"/>
  <c r="P21" i="4"/>
  <c r="P30" i="4"/>
  <c r="P44" i="4"/>
  <c r="P53" i="4"/>
  <c r="P62" i="4"/>
  <c r="P73" i="4"/>
  <c r="P82" i="4"/>
  <c r="P91" i="4"/>
  <c r="P98" i="4"/>
  <c r="P28" i="4"/>
  <c r="P46" i="4"/>
  <c r="P9" i="4"/>
  <c r="P18" i="4"/>
  <c r="P32" i="4"/>
  <c r="P35" i="4"/>
  <c r="P41" i="4"/>
  <c r="P50" i="4"/>
  <c r="P84" i="4"/>
  <c r="P86" i="4"/>
  <c r="P88" i="4"/>
  <c r="P93" i="4"/>
  <c r="P95" i="4"/>
  <c r="P37" i="4"/>
  <c r="P60" i="4"/>
  <c r="P11" i="4"/>
  <c r="P14" i="4"/>
  <c r="P20" i="4"/>
  <c r="P23" i="4"/>
  <c r="P29" i="4"/>
  <c r="P38" i="4"/>
  <c r="P47" i="4"/>
  <c r="P52" i="4"/>
  <c r="P55" i="4"/>
  <c r="P61" i="4"/>
  <c r="P64" i="4"/>
  <c r="P75" i="4"/>
  <c r="P77" i="4"/>
  <c r="P79" i="4"/>
  <c r="P97" i="4"/>
  <c r="P4" i="4"/>
  <c r="P5" i="4"/>
  <c r="P8" i="4"/>
  <c r="P17" i="4"/>
  <c r="P26" i="4"/>
  <c r="P40" i="4"/>
  <c r="P43" i="4"/>
  <c r="P49" i="4"/>
  <c r="P58" i="4"/>
  <c r="P66" i="4"/>
  <c r="P68" i="4"/>
  <c r="P70" i="4"/>
  <c r="P72" i="4"/>
  <c r="P81" i="4"/>
  <c r="P90" i="4"/>
  <c r="P63" i="4"/>
  <c r="H2" i="4"/>
  <c r="R3" i="5"/>
  <c r="R6" i="5"/>
  <c r="R18" i="5"/>
  <c r="R23" i="5"/>
  <c r="R26" i="5"/>
  <c r="R31" i="5"/>
  <c r="R34" i="5"/>
  <c r="R39" i="5"/>
  <c r="R42" i="5"/>
  <c r="R47" i="5"/>
  <c r="R50" i="5"/>
  <c r="R55" i="5"/>
  <c r="R60" i="5"/>
  <c r="R65" i="5"/>
  <c r="R70" i="5"/>
  <c r="R76" i="5"/>
  <c r="R92" i="5"/>
  <c r="R74" i="5"/>
  <c r="R12" i="5"/>
  <c r="R63" i="5"/>
  <c r="R66" i="5"/>
  <c r="R69" i="5"/>
  <c r="R79" i="5"/>
  <c r="R87" i="5"/>
  <c r="R95" i="5"/>
  <c r="R36" i="5"/>
  <c r="R82" i="5"/>
  <c r="R11" i="5"/>
  <c r="R17" i="5"/>
  <c r="R20" i="5"/>
  <c r="R25" i="5"/>
  <c r="R28" i="5"/>
  <c r="R33" i="5"/>
  <c r="R41" i="5"/>
  <c r="R44" i="5"/>
  <c r="R49" i="5"/>
  <c r="R52" i="5"/>
  <c r="R57" i="5"/>
  <c r="R64" i="5"/>
  <c r="R59" i="5"/>
  <c r="R68" i="5"/>
  <c r="R77" i="5"/>
  <c r="R85" i="5"/>
  <c r="R93" i="5"/>
  <c r="R88" i="5"/>
  <c r="R2" i="5"/>
  <c r="R78" i="5"/>
  <c r="R9" i="5"/>
  <c r="R10" i="5"/>
  <c r="R15" i="5"/>
  <c r="R16" i="5"/>
  <c r="R19" i="5"/>
  <c r="R22" i="5"/>
  <c r="R27" i="5"/>
  <c r="R30" i="5"/>
  <c r="R35" i="5"/>
  <c r="R38" i="5"/>
  <c r="R43" i="5"/>
  <c r="R46" i="5"/>
  <c r="R51" i="5"/>
  <c r="R54" i="5"/>
  <c r="R62" i="5"/>
  <c r="R71" i="5"/>
  <c r="R80" i="5"/>
  <c r="R61" i="5"/>
  <c r="R73" i="5"/>
  <c r="R75" i="5"/>
  <c r="R83" i="5"/>
  <c r="R91" i="5"/>
  <c r="R56" i="5"/>
  <c r="R94" i="5"/>
  <c r="R4" i="5"/>
  <c r="R5" i="5"/>
  <c r="R7" i="5"/>
  <c r="R8" i="5"/>
  <c r="R14" i="5"/>
  <c r="R21" i="5"/>
  <c r="R24" i="5"/>
  <c r="R29" i="5"/>
  <c r="R32" i="5"/>
  <c r="R37" i="5"/>
  <c r="R40" i="5"/>
  <c r="R45" i="5"/>
  <c r="R48" i="5"/>
  <c r="R53" i="5"/>
  <c r="R67" i="5"/>
  <c r="R86" i="5"/>
  <c r="R13" i="5"/>
  <c r="R58" i="5"/>
  <c r="R81" i="5"/>
  <c r="R89" i="5"/>
  <c r="R84" i="5"/>
  <c r="R72" i="5"/>
  <c r="R90" i="5"/>
  <c r="K96" i="5"/>
  <c r="K100" i="5" s="1"/>
  <c r="S67" i="1"/>
  <c r="S91" i="1"/>
  <c r="Q43" i="1"/>
  <c r="S33" i="1"/>
  <c r="P2" i="4"/>
  <c r="W30" i="1"/>
  <c r="W110" i="1"/>
  <c r="S2" i="4"/>
  <c r="U2" i="4" s="1"/>
  <c r="W104" i="1"/>
  <c r="W95" i="1"/>
  <c r="X2" i="4"/>
  <c r="W54" i="1"/>
  <c r="W41" i="1"/>
  <c r="W120" i="1"/>
  <c r="AF13" i="3"/>
  <c r="AF16" i="3"/>
  <c r="AF19" i="3"/>
  <c r="AF24" i="3"/>
  <c r="AF27" i="3"/>
  <c r="AF34" i="3"/>
  <c r="AF36" i="3"/>
  <c r="AF54" i="3"/>
  <c r="AF67" i="3"/>
  <c r="AF70" i="3"/>
  <c r="AF84" i="3"/>
  <c r="AF89" i="3"/>
  <c r="AF60" i="3"/>
  <c r="AF66" i="3"/>
  <c r="AF5" i="3"/>
  <c r="AF21" i="3"/>
  <c r="AF47" i="3"/>
  <c r="AF49" i="3"/>
  <c r="AF57" i="3"/>
  <c r="AF64" i="3"/>
  <c r="AF74" i="3"/>
  <c r="AF92" i="3"/>
  <c r="AF77" i="3"/>
  <c r="AF10" i="3"/>
  <c r="AF26" i="3"/>
  <c r="AF29" i="3"/>
  <c r="AF39" i="3"/>
  <c r="AF41" i="3"/>
  <c r="AF51" i="3"/>
  <c r="AF3" i="3"/>
  <c r="AF7" i="3"/>
  <c r="AF12" i="3"/>
  <c r="AF18" i="3"/>
  <c r="AF31" i="3"/>
  <c r="AF33" i="3"/>
  <c r="AF43" i="3"/>
  <c r="AF46" i="3"/>
  <c r="AF53" i="3"/>
  <c r="AF55" i="3"/>
  <c r="AF62" i="3"/>
  <c r="AF69" i="3"/>
  <c r="AF71" i="3"/>
  <c r="AF73" i="3"/>
  <c r="AF80" i="3"/>
  <c r="AF85" i="3"/>
  <c r="AF90" i="3"/>
  <c r="AF79" i="3"/>
  <c r="AF91" i="3"/>
  <c r="AF11" i="3"/>
  <c r="AF22" i="3"/>
  <c r="AF9" i="3"/>
  <c r="AF15" i="3"/>
  <c r="AF20" i="3"/>
  <c r="AF23" i="3"/>
  <c r="AF35" i="3"/>
  <c r="AF38" i="3"/>
  <c r="AF45" i="3"/>
  <c r="AF59" i="3"/>
  <c r="AF65" i="3"/>
  <c r="AF75" i="3"/>
  <c r="AF88" i="3"/>
  <c r="AF2" i="3"/>
  <c r="AF17" i="3"/>
  <c r="AF25" i="3"/>
  <c r="AF28" i="3"/>
  <c r="AF37" i="3"/>
  <c r="AF48" i="3"/>
  <c r="AF83" i="3"/>
  <c r="AF4" i="3"/>
  <c r="AF6" i="3"/>
  <c r="AF14" i="3"/>
  <c r="AF30" i="3"/>
  <c r="AF40" i="3"/>
  <c r="AF56" i="3"/>
  <c r="AF61" i="3"/>
  <c r="AF63" i="3"/>
  <c r="AF68" i="3"/>
  <c r="AF72" i="3"/>
  <c r="AF78" i="3"/>
  <c r="AF87" i="3"/>
  <c r="AF8" i="3"/>
  <c r="AF50" i="3"/>
  <c r="AF58" i="3"/>
  <c r="AF82" i="3"/>
  <c r="AF44" i="3"/>
  <c r="AF32" i="3"/>
  <c r="AF76" i="3"/>
  <c r="AF86" i="3"/>
  <c r="AF52" i="3"/>
  <c r="AF42" i="3"/>
  <c r="AF81" i="3"/>
  <c r="P78" i="2"/>
  <c r="P2" i="2"/>
  <c r="P19" i="2"/>
  <c r="P17" i="2"/>
  <c r="P69" i="2"/>
  <c r="P93" i="2"/>
  <c r="P96" i="2"/>
  <c r="P21" i="2"/>
  <c r="P35" i="2"/>
  <c r="P42" i="2"/>
  <c r="P62" i="2"/>
  <c r="P51" i="2"/>
  <c r="P9" i="2"/>
  <c r="P90" i="2"/>
  <c r="P11" i="2"/>
  <c r="P82" i="2"/>
  <c r="P41" i="2"/>
  <c r="P83" i="2"/>
  <c r="P61" i="2"/>
  <c r="P25" i="2"/>
  <c r="P18" i="2"/>
  <c r="P92" i="2"/>
  <c r="P7" i="2"/>
  <c r="P38" i="2"/>
  <c r="P80" i="2"/>
  <c r="P36" i="2"/>
  <c r="P54" i="2"/>
  <c r="P24" i="2"/>
  <c r="P55" i="2"/>
  <c r="P48" i="2"/>
  <c r="P29" i="2"/>
  <c r="P75" i="2"/>
  <c r="P65" i="2"/>
  <c r="P13" i="2"/>
  <c r="P85" i="2"/>
  <c r="P3" i="2"/>
  <c r="P91" i="2"/>
  <c r="P63" i="2"/>
  <c r="P12" i="2"/>
  <c r="P40" i="2"/>
  <c r="P84" i="2"/>
  <c r="P20" i="2"/>
  <c r="P53" i="2"/>
  <c r="P5" i="2"/>
  <c r="P30" i="2"/>
  <c r="P73" i="2"/>
  <c r="P26" i="2"/>
  <c r="P34" i="2"/>
  <c r="P43" i="2"/>
  <c r="P76" i="2"/>
  <c r="P71" i="2"/>
  <c r="P86" i="2"/>
  <c r="P14" i="2"/>
  <c r="P44" i="2"/>
  <c r="P15" i="2"/>
  <c r="P94" i="2"/>
  <c r="P66" i="2"/>
  <c r="P88" i="2"/>
  <c r="P46" i="2"/>
  <c r="P39" i="2"/>
  <c r="P79" i="2"/>
  <c r="P47" i="2"/>
  <c r="P37" i="2"/>
  <c r="P52" i="2"/>
  <c r="P8" i="2"/>
  <c r="P50" i="2"/>
  <c r="P32" i="2"/>
  <c r="P89" i="2"/>
  <c r="P58" i="2"/>
  <c r="P67" i="2"/>
  <c r="P77" i="2"/>
  <c r="P6" i="2"/>
  <c r="P74" i="2"/>
  <c r="P10" i="2"/>
  <c r="P4" i="2"/>
  <c r="P22" i="2"/>
  <c r="P87" i="2"/>
  <c r="P64" i="2"/>
  <c r="P59" i="2"/>
  <c r="P45" i="2"/>
  <c r="P33" i="2"/>
  <c r="P16" i="2"/>
  <c r="P27" i="2"/>
  <c r="P95" i="2"/>
  <c r="P60" i="2"/>
  <c r="P28" i="2"/>
  <c r="P31" i="2"/>
  <c r="P72" i="2"/>
  <c r="P57" i="2"/>
  <c r="P97" i="2"/>
  <c r="P49" i="2"/>
  <c r="P81" i="2"/>
  <c r="P68" i="2"/>
  <c r="P56" i="2"/>
  <c r="P23" i="2"/>
  <c r="P70" i="2"/>
  <c r="R93" i="3"/>
  <c r="K120" i="1"/>
  <c r="O40" i="1"/>
  <c r="O74" i="1"/>
  <c r="E61" i="2"/>
  <c r="E96" i="2"/>
  <c r="H49" i="2"/>
  <c r="U49" i="2" s="1"/>
  <c r="H94" i="2"/>
  <c r="G97" i="1"/>
  <c r="E17" i="2"/>
  <c r="E68" i="2"/>
  <c r="G99" i="1"/>
  <c r="H34" i="2"/>
  <c r="G103" i="1"/>
  <c r="H45" i="2"/>
  <c r="H30" i="2"/>
  <c r="E73" i="2"/>
  <c r="E11" i="2"/>
  <c r="E94" i="2"/>
  <c r="H33" i="2"/>
  <c r="S78" i="2"/>
  <c r="H95" i="2"/>
  <c r="X50" i="2"/>
  <c r="S75" i="2"/>
  <c r="U75" i="2" s="1"/>
  <c r="W49" i="2"/>
  <c r="E25" i="2"/>
  <c r="E21" i="2"/>
  <c r="E56" i="2"/>
  <c r="H77" i="2"/>
  <c r="S39" i="2"/>
  <c r="O12" i="1"/>
  <c r="O129" i="1"/>
  <c r="K139" i="1"/>
  <c r="U29" i="1"/>
  <c r="W29" i="1"/>
  <c r="G34" i="1"/>
  <c r="S31" i="2"/>
  <c r="G95" i="1"/>
  <c r="W80" i="2"/>
  <c r="G20" i="1"/>
  <c r="W29" i="2"/>
  <c r="T58" i="2"/>
  <c r="T92" i="2"/>
  <c r="W62" i="2"/>
  <c r="K68" i="1"/>
  <c r="K72" i="1"/>
  <c r="V12" i="1"/>
  <c r="V127" i="1"/>
  <c r="W28" i="2"/>
  <c r="E43" i="2"/>
  <c r="T43" i="2"/>
  <c r="E91" i="2"/>
  <c r="E28" i="2"/>
  <c r="H11" i="2"/>
  <c r="E41" i="2"/>
  <c r="T44" i="2"/>
  <c r="T83" i="2"/>
  <c r="X87" i="2"/>
  <c r="H58" i="2"/>
  <c r="X33" i="2"/>
  <c r="X62" i="2"/>
  <c r="V68" i="1"/>
  <c r="E84" i="1"/>
  <c r="V37" i="1"/>
  <c r="U53" i="1"/>
  <c r="W53" i="1"/>
  <c r="V102" i="1"/>
  <c r="X95" i="2"/>
  <c r="H43" i="2"/>
  <c r="X6" i="2"/>
  <c r="H2" i="2"/>
  <c r="T55" i="2"/>
  <c r="E72" i="2"/>
  <c r="H83" i="2"/>
  <c r="H26" i="2"/>
  <c r="H3" i="2"/>
  <c r="E27" i="2"/>
  <c r="P2" i="3"/>
  <c r="K65" i="1"/>
  <c r="K136" i="1"/>
  <c r="Q93" i="1"/>
  <c r="W85" i="2"/>
  <c r="W56" i="2"/>
  <c r="W77" i="2"/>
  <c r="X79" i="2"/>
  <c r="E60" i="2"/>
  <c r="X31" i="2"/>
  <c r="S4" i="2"/>
  <c r="S25" i="2"/>
  <c r="S35" i="2"/>
  <c r="E85" i="2"/>
  <c r="G121" i="1"/>
  <c r="X56" i="2"/>
  <c r="G18" i="1"/>
  <c r="K63" i="1"/>
  <c r="V11" i="1"/>
  <c r="K16" i="1"/>
  <c r="W59" i="1"/>
  <c r="U73" i="1"/>
  <c r="W73" i="1"/>
  <c r="Q26" i="1"/>
  <c r="W63" i="1"/>
  <c r="W107" i="1"/>
  <c r="W134" i="1"/>
  <c r="S125" i="1"/>
  <c r="S134" i="1"/>
  <c r="W66" i="1"/>
  <c r="W122" i="1"/>
  <c r="W129" i="1"/>
  <c r="H2" i="5"/>
  <c r="Q73" i="1"/>
  <c r="W77" i="1"/>
  <c r="W102" i="1"/>
  <c r="S122" i="1"/>
  <c r="S103" i="1"/>
  <c r="W62" i="1"/>
  <c r="W111" i="1"/>
  <c r="S10" i="1"/>
  <c r="Q128" i="1"/>
  <c r="Q41" i="1"/>
  <c r="R33" i="1"/>
  <c r="S126" i="1"/>
  <c r="S136" i="1"/>
  <c r="S36" i="1"/>
  <c r="Q129" i="1"/>
  <c r="W68" i="1"/>
  <c r="W70" i="1"/>
  <c r="W124" i="1"/>
  <c r="W133" i="1"/>
  <c r="E6" i="2"/>
  <c r="X19" i="2"/>
  <c r="W4" i="2"/>
  <c r="G60" i="1"/>
  <c r="H41" i="2"/>
  <c r="E22" i="2"/>
  <c r="X84" i="2"/>
  <c r="H69" i="2"/>
  <c r="S29" i="2"/>
  <c r="T29" i="2"/>
  <c r="E75" i="2"/>
  <c r="W66" i="2"/>
  <c r="G26" i="1"/>
  <c r="X68" i="2"/>
  <c r="W42" i="2"/>
  <c r="E46" i="2"/>
  <c r="T16" i="2"/>
  <c r="V16" i="2" s="1"/>
  <c r="X34" i="2"/>
  <c r="F136" i="1"/>
  <c r="E28" i="1"/>
  <c r="F68" i="1"/>
  <c r="F71" i="1"/>
  <c r="F82" i="1"/>
  <c r="F16" i="1"/>
  <c r="E93" i="2"/>
  <c r="X3" i="2"/>
  <c r="W23" i="2"/>
  <c r="V34" i="2"/>
  <c r="E126" i="1"/>
  <c r="H70" i="2"/>
  <c r="S70" i="2"/>
  <c r="X80" i="2"/>
  <c r="S95" i="2"/>
  <c r="S6" i="2"/>
  <c r="E79" i="2"/>
  <c r="T2" i="2"/>
  <c r="X47" i="2"/>
  <c r="E10" i="2"/>
  <c r="X12" i="2"/>
  <c r="E31" i="2"/>
  <c r="X86" i="2"/>
  <c r="G120" i="1"/>
  <c r="T8" i="2"/>
  <c r="V8" i="2" s="1"/>
  <c r="E83" i="2"/>
  <c r="H93" i="2"/>
  <c r="E50" i="2"/>
  <c r="X29" i="2"/>
  <c r="T61" i="2"/>
  <c r="X25" i="2"/>
  <c r="S59" i="2"/>
  <c r="X5" i="2"/>
  <c r="H81" i="2"/>
  <c r="G54" i="1"/>
  <c r="H85" i="2"/>
  <c r="E26" i="2"/>
  <c r="G12" i="1"/>
  <c r="E26" i="1"/>
  <c r="E63" i="1"/>
  <c r="H54" i="2"/>
  <c r="S80" i="2"/>
  <c r="W78" i="2"/>
  <c r="S60" i="2"/>
  <c r="S86" i="2"/>
  <c r="S84" i="2"/>
  <c r="W97" i="2"/>
  <c r="S89" i="2"/>
  <c r="U89" i="2" s="1"/>
  <c r="X26" i="2"/>
  <c r="E70" i="1"/>
  <c r="F124" i="1"/>
  <c r="G74" i="1"/>
  <c r="E80" i="2"/>
  <c r="W95" i="2"/>
  <c r="H91" i="2"/>
  <c r="E36" i="2"/>
  <c r="T36" i="2"/>
  <c r="E76" i="2"/>
  <c r="G109" i="1"/>
  <c r="T74" i="2"/>
  <c r="E63" i="2"/>
  <c r="E47" i="2"/>
  <c r="H71" i="2"/>
  <c r="H10" i="2"/>
  <c r="H19" i="2"/>
  <c r="G56" i="1"/>
  <c r="G122" i="1"/>
  <c r="H4" i="2"/>
  <c r="W72" i="2"/>
  <c r="T48" i="2"/>
  <c r="E57" i="2"/>
  <c r="X20" i="2"/>
  <c r="H50" i="2"/>
  <c r="H97" i="2"/>
  <c r="H61" i="2"/>
  <c r="S32" i="2"/>
  <c r="G71" i="1"/>
  <c r="W59" i="2"/>
  <c r="G15" i="1"/>
  <c r="X65" i="2"/>
  <c r="E33" i="2"/>
  <c r="H42" i="2"/>
  <c r="G62" i="1"/>
  <c r="S26" i="2"/>
  <c r="E23" i="2"/>
  <c r="G41" i="1"/>
  <c r="G73" i="1"/>
  <c r="W90" i="2"/>
  <c r="H63" i="2"/>
  <c r="X2" i="2"/>
  <c r="H52" i="2"/>
  <c r="X72" i="2"/>
  <c r="T41" i="2"/>
  <c r="T69" i="2"/>
  <c r="H87" i="2"/>
  <c r="W93" i="2"/>
  <c r="E64" i="2"/>
  <c r="H96" i="2"/>
  <c r="E32" i="2"/>
  <c r="T49" i="2"/>
  <c r="V49" i="2" s="1"/>
  <c r="S66" i="2"/>
  <c r="W35" i="2"/>
  <c r="G84" i="1"/>
  <c r="H88" i="2"/>
  <c r="V88" i="2" s="1"/>
  <c r="G126" i="1"/>
  <c r="X73" i="2"/>
  <c r="S42" i="2"/>
  <c r="H56" i="2"/>
  <c r="X46" i="2"/>
  <c r="X77" i="2"/>
  <c r="E97" i="1"/>
  <c r="E80" i="1"/>
  <c r="H82" i="2"/>
  <c r="S79" i="2"/>
  <c r="W60" i="2"/>
  <c r="H80" i="2"/>
  <c r="H36" i="2"/>
  <c r="H76" i="2"/>
  <c r="W74" i="2"/>
  <c r="X28" i="2"/>
  <c r="S12" i="2"/>
  <c r="W19" i="2"/>
  <c r="H37" i="2"/>
  <c r="H86" i="2"/>
  <c r="T52" i="2"/>
  <c r="W84" i="2"/>
  <c r="E20" i="2"/>
  <c r="X93" i="2"/>
  <c r="H29" i="2"/>
  <c r="U29" i="2" s="1"/>
  <c r="E15" i="2"/>
  <c r="W53" i="2"/>
  <c r="W89" i="2"/>
  <c r="E65" i="2"/>
  <c r="E30" i="2"/>
  <c r="X35" i="2"/>
  <c r="W68" i="2"/>
  <c r="E67" i="2"/>
  <c r="X85" i="2"/>
  <c r="S27" i="2"/>
  <c r="U27" i="2" s="1"/>
  <c r="E42" i="1"/>
  <c r="F14" i="1"/>
  <c r="F30" i="1"/>
  <c r="S17" i="2"/>
  <c r="S43" i="2"/>
  <c r="F63" i="1"/>
  <c r="S52" i="2"/>
  <c r="X41" i="2"/>
  <c r="F72" i="1"/>
  <c r="S50" i="2"/>
  <c r="S64" i="2"/>
  <c r="H64" i="2"/>
  <c r="F75" i="1"/>
  <c r="S53" i="2"/>
  <c r="T75" i="2"/>
  <c r="V75" i="2" s="1"/>
  <c r="G108" i="1"/>
  <c r="X30" i="2"/>
  <c r="T90" i="2"/>
  <c r="E130" i="1"/>
  <c r="G130" i="1"/>
  <c r="T91" i="2"/>
  <c r="V91" i="2" s="1"/>
  <c r="E133" i="1"/>
  <c r="F61" i="1"/>
  <c r="X61" i="2"/>
  <c r="F91" i="1"/>
  <c r="W18" i="2"/>
  <c r="F33" i="1"/>
  <c r="S30" i="2"/>
  <c r="F49" i="1"/>
  <c r="W67" i="2"/>
  <c r="X23" i="2"/>
  <c r="F53" i="1"/>
  <c r="S34" i="2"/>
  <c r="X71" i="2"/>
  <c r="F103" i="1"/>
  <c r="S10" i="2"/>
  <c r="F23" i="1"/>
  <c r="G115" i="1"/>
  <c r="E115" i="1"/>
  <c r="S9" i="2"/>
  <c r="F21" i="1"/>
  <c r="X36" i="2"/>
  <c r="W76" i="2"/>
  <c r="G47" i="1"/>
  <c r="W10" i="2"/>
  <c r="W17" i="2"/>
  <c r="F101" i="1"/>
  <c r="S69" i="2"/>
  <c r="U69" i="2" s="1"/>
  <c r="E87" i="2"/>
  <c r="G124" i="1"/>
  <c r="E124" i="1"/>
  <c r="S81" i="2"/>
  <c r="F116" i="1"/>
  <c r="X81" i="2"/>
  <c r="X67" i="2"/>
  <c r="S23" i="2"/>
  <c r="F41" i="1"/>
  <c r="G21" i="1"/>
  <c r="E21" i="1"/>
  <c r="T9" i="2"/>
  <c r="S22" i="2"/>
  <c r="U22" i="2" s="1"/>
  <c r="X22" i="2"/>
  <c r="F99" i="1"/>
  <c r="E12" i="1"/>
  <c r="H7" i="2"/>
  <c r="T7" i="2"/>
  <c r="W27" i="2"/>
  <c r="E122" i="1"/>
  <c r="W83" i="2"/>
  <c r="G37" i="1"/>
  <c r="W65" i="2"/>
  <c r="X13" i="2"/>
  <c r="X27" i="2"/>
  <c r="E121" i="1"/>
  <c r="E108" i="1"/>
  <c r="F45" i="1"/>
  <c r="F109" i="1"/>
  <c r="G139" i="1"/>
  <c r="E139" i="1"/>
  <c r="G69" i="1"/>
  <c r="T19" i="2"/>
  <c r="S8" i="2"/>
  <c r="U8" i="2" s="1"/>
  <c r="X83" i="2"/>
  <c r="G48" i="1"/>
  <c r="T46" i="2"/>
  <c r="G68" i="1"/>
  <c r="E110" i="1"/>
  <c r="G110" i="1"/>
  <c r="H38" i="2"/>
  <c r="T38" i="2"/>
  <c r="F40" i="1"/>
  <c r="E94" i="1"/>
  <c r="G94" i="1"/>
  <c r="G78" i="1"/>
  <c r="T54" i="2"/>
  <c r="F56" i="1"/>
  <c r="S37" i="2"/>
  <c r="F119" i="1"/>
  <c r="F97" i="1"/>
  <c r="W30" i="2"/>
  <c r="E78" i="1"/>
  <c r="X43" i="2"/>
  <c r="E9" i="2"/>
  <c r="W6" i="2"/>
  <c r="H78" i="2"/>
  <c r="W79" i="2"/>
  <c r="H60" i="2"/>
  <c r="X76" i="2"/>
  <c r="E90" i="2"/>
  <c r="E71" i="2"/>
  <c r="H12" i="2"/>
  <c r="G25" i="1"/>
  <c r="X37" i="2"/>
  <c r="H24" i="2"/>
  <c r="T24" i="2"/>
  <c r="W31" i="2"/>
  <c r="E86" i="2"/>
  <c r="X17" i="2"/>
  <c r="E52" i="2"/>
  <c r="X69" i="2"/>
  <c r="E8" i="2"/>
  <c r="W20" i="2"/>
  <c r="X53" i="2"/>
  <c r="W32" i="2"/>
  <c r="H59" i="2"/>
  <c r="G86" i="1"/>
  <c r="E18" i="2"/>
  <c r="H35" i="2"/>
  <c r="U35" i="2" s="1"/>
  <c r="E13" i="2"/>
  <c r="E88" i="2"/>
  <c r="H92" i="2"/>
  <c r="E77" i="2"/>
  <c r="H39" i="2"/>
  <c r="G58" i="1"/>
  <c r="E41" i="1"/>
  <c r="E82" i="1"/>
  <c r="E47" i="1"/>
  <c r="E138" i="1"/>
  <c r="F134" i="1"/>
  <c r="F43" i="1"/>
  <c r="F130" i="1"/>
  <c r="O24" i="1"/>
  <c r="N24" i="1"/>
  <c r="J28" i="1"/>
  <c r="K30" i="1"/>
  <c r="J30" i="1"/>
  <c r="O33" i="1"/>
  <c r="N33" i="1"/>
  <c r="I35" i="1"/>
  <c r="J43" i="1"/>
  <c r="N56" i="1"/>
  <c r="M61" i="1"/>
  <c r="M72" i="1"/>
  <c r="N20" i="1"/>
  <c r="O21" i="1"/>
  <c r="N21" i="1"/>
  <c r="K26" i="1"/>
  <c r="I27" i="1"/>
  <c r="I28" i="1"/>
  <c r="I30" i="1"/>
  <c r="M33" i="1"/>
  <c r="M37" i="1"/>
  <c r="N42" i="1"/>
  <c r="I43" i="1"/>
  <c r="N45" i="1"/>
  <c r="O45" i="1"/>
  <c r="J47" i="1"/>
  <c r="J52" i="1"/>
  <c r="O54" i="1"/>
  <c r="I60" i="1"/>
  <c r="J98" i="2"/>
  <c r="H90" i="2"/>
  <c r="X90" i="2"/>
  <c r="V83" i="2"/>
  <c r="E99" i="1"/>
  <c r="E20" i="1"/>
  <c r="E74" i="1"/>
  <c r="E56" i="1"/>
  <c r="E69" i="1"/>
  <c r="F140" i="1"/>
  <c r="F50" i="1"/>
  <c r="F47" i="1"/>
  <c r="M12" i="1"/>
  <c r="K14" i="1"/>
  <c r="J14" i="1"/>
  <c r="O17" i="1"/>
  <c r="N17" i="1"/>
  <c r="K18" i="1"/>
  <c r="M20" i="1"/>
  <c r="M21" i="1"/>
  <c r="K23" i="1"/>
  <c r="O26" i="1"/>
  <c r="N26" i="1"/>
  <c r="J41" i="1"/>
  <c r="N50" i="1"/>
  <c r="J55" i="1"/>
  <c r="N58" i="1"/>
  <c r="I65" i="1"/>
  <c r="O69" i="1"/>
  <c r="N69" i="1"/>
  <c r="S74" i="2"/>
  <c r="T31" i="2"/>
  <c r="T86" i="2"/>
  <c r="W82" i="2"/>
  <c r="G30" i="1"/>
  <c r="G101" i="1"/>
  <c r="G75" i="1"/>
  <c r="E58" i="2"/>
  <c r="S68" i="2"/>
  <c r="S88" i="2"/>
  <c r="H73" i="2"/>
  <c r="U73" i="2" s="1"/>
  <c r="H46" i="2"/>
  <c r="U46" i="2" s="1"/>
  <c r="E16" i="2"/>
  <c r="G29" i="1"/>
  <c r="E62" i="2"/>
  <c r="T62" i="2"/>
  <c r="T77" i="2"/>
  <c r="V77" i="2" s="1"/>
  <c r="E93" i="1"/>
  <c r="E101" i="1"/>
  <c r="E30" i="1"/>
  <c r="E34" i="1"/>
  <c r="F12" i="1"/>
  <c r="F121" i="1"/>
  <c r="F108" i="1"/>
  <c r="F70" i="1"/>
  <c r="F80" i="1"/>
  <c r="F115" i="1"/>
  <c r="J13" i="1"/>
  <c r="M26" i="1"/>
  <c r="J29" i="1"/>
  <c r="O30" i="1"/>
  <c r="N54" i="1"/>
  <c r="I55" i="1"/>
  <c r="H9" i="2"/>
  <c r="G63" i="1"/>
  <c r="S36" i="2"/>
  <c r="G107" i="1"/>
  <c r="S63" i="2"/>
  <c r="W54" i="2"/>
  <c r="G117" i="1"/>
  <c r="G80" i="1"/>
  <c r="S72" i="2"/>
  <c r="W14" i="2"/>
  <c r="G70" i="1"/>
  <c r="S57" i="2"/>
  <c r="W44" i="2"/>
  <c r="W87" i="2"/>
  <c r="G28" i="1"/>
  <c r="X49" i="2"/>
  <c r="E66" i="2"/>
  <c r="U30" i="2"/>
  <c r="G52" i="1"/>
  <c r="S56" i="2"/>
  <c r="W26" i="2"/>
  <c r="H23" i="2"/>
  <c r="X39" i="2"/>
  <c r="E53" i="1"/>
  <c r="E15" i="1"/>
  <c r="E37" i="1"/>
  <c r="F110" i="1"/>
  <c r="F51" i="1"/>
  <c r="F69" i="1"/>
  <c r="I13" i="1"/>
  <c r="M15" i="1"/>
  <c r="O18" i="1"/>
  <c r="N18" i="1"/>
  <c r="O23" i="1"/>
  <c r="N23" i="1"/>
  <c r="K24" i="1"/>
  <c r="J24" i="1"/>
  <c r="N27" i="1"/>
  <c r="N28" i="1"/>
  <c r="I29" i="1"/>
  <c r="M35" i="1"/>
  <c r="O38" i="1"/>
  <c r="N38" i="1"/>
  <c r="N43" i="1"/>
  <c r="I61" i="1"/>
  <c r="E37" i="2"/>
  <c r="T6" i="2"/>
  <c r="T79" i="2"/>
  <c r="S91" i="2"/>
  <c r="U91" i="2" s="1"/>
  <c r="T70" i="2"/>
  <c r="E95" i="2"/>
  <c r="G138" i="1"/>
  <c r="H6" i="2"/>
  <c r="H79" i="2"/>
  <c r="W36" i="2"/>
  <c r="S76" i="2"/>
  <c r="E74" i="2"/>
  <c r="E2" i="2"/>
  <c r="S2" i="2"/>
  <c r="H28" i="2"/>
  <c r="W11" i="2"/>
  <c r="H31" i="2"/>
  <c r="E82" i="2"/>
  <c r="E40" i="2"/>
  <c r="H17" i="2"/>
  <c r="V17" i="2" s="1"/>
  <c r="E55" i="2"/>
  <c r="E14" i="2"/>
  <c r="W22" i="2"/>
  <c r="E48" i="2"/>
  <c r="E44" i="2"/>
  <c r="H20" i="2"/>
  <c r="W50" i="2"/>
  <c r="E29" i="2"/>
  <c r="T97" i="2"/>
  <c r="T15" i="2"/>
  <c r="V15" i="2" s="1"/>
  <c r="W61" i="2"/>
  <c r="T53" i="2"/>
  <c r="H32" i="2"/>
  <c r="X75" i="2"/>
  <c r="E49" i="2"/>
  <c r="W81" i="2"/>
  <c r="W88" i="2"/>
  <c r="T33" i="2"/>
  <c r="E42" i="2"/>
  <c r="T42" i="2"/>
  <c r="G82" i="1"/>
  <c r="H62" i="2"/>
  <c r="G93" i="1"/>
  <c r="G57" i="1"/>
  <c r="W34" i="2"/>
  <c r="E29" i="1"/>
  <c r="E52" i="1"/>
  <c r="E40" i="1"/>
  <c r="E107" i="1"/>
  <c r="E16" i="1"/>
  <c r="F73" i="1"/>
  <c r="F34" i="1"/>
  <c r="F10" i="1"/>
  <c r="AZ2" i="3"/>
  <c r="J12" i="1"/>
  <c r="M18" i="1"/>
  <c r="J21" i="1"/>
  <c r="M23" i="1"/>
  <c r="M27" i="1"/>
  <c r="I33" i="1"/>
  <c r="I37" i="1"/>
  <c r="J40" i="1"/>
  <c r="J42" i="1"/>
  <c r="I48" i="1"/>
  <c r="N52" i="1"/>
  <c r="N63" i="1"/>
  <c r="T78" i="2"/>
  <c r="T60" i="2"/>
  <c r="H74" i="2"/>
  <c r="S54" i="2"/>
  <c r="S28" i="2"/>
  <c r="G24" i="1"/>
  <c r="E12" i="2"/>
  <c r="T12" i="2"/>
  <c r="G42" i="1"/>
  <c r="H55" i="2"/>
  <c r="G27" i="1"/>
  <c r="H84" i="2"/>
  <c r="H48" i="2"/>
  <c r="G64" i="1"/>
  <c r="S87" i="2"/>
  <c r="U87" i="2" s="1"/>
  <c r="S20" i="2"/>
  <c r="G140" i="1"/>
  <c r="E59" i="2"/>
  <c r="G98" i="1"/>
  <c r="X18" i="2"/>
  <c r="E35" i="2"/>
  <c r="T35" i="2"/>
  <c r="H68" i="2"/>
  <c r="X88" i="2"/>
  <c r="G134" i="1"/>
  <c r="W73" i="2"/>
  <c r="W46" i="2"/>
  <c r="E7" i="2"/>
  <c r="S62" i="2"/>
  <c r="E39" i="2"/>
  <c r="T39" i="2"/>
  <c r="E51" i="2"/>
  <c r="E91" i="1"/>
  <c r="E119" i="1"/>
  <c r="E61" i="1"/>
  <c r="E117" i="1"/>
  <c r="E24" i="1"/>
  <c r="F106" i="1"/>
  <c r="F15" i="1"/>
  <c r="AA93" i="3"/>
  <c r="I12" i="1"/>
  <c r="N16" i="1"/>
  <c r="O37" i="1"/>
  <c r="I40" i="1"/>
  <c r="N41" i="1"/>
  <c r="I45" i="1"/>
  <c r="O56" i="1"/>
  <c r="J58" i="1"/>
  <c r="M68" i="1"/>
  <c r="N13" i="1"/>
  <c r="M14" i="1"/>
  <c r="J15" i="1"/>
  <c r="M16" i="1"/>
  <c r="K20" i="1"/>
  <c r="I26" i="1"/>
  <c r="N29" i="1"/>
  <c r="K33" i="1"/>
  <c r="K35" i="1"/>
  <c r="J35" i="1"/>
  <c r="J54" i="1"/>
  <c r="M55" i="1"/>
  <c r="N61" i="1"/>
  <c r="I67" i="1"/>
  <c r="M74" i="1"/>
  <c r="I78" i="1"/>
  <c r="N79" i="1"/>
  <c r="I80" i="1"/>
  <c r="M95" i="1"/>
  <c r="M101" i="1"/>
  <c r="J108" i="1"/>
  <c r="O110" i="1"/>
  <c r="I111" i="1"/>
  <c r="O114" i="1"/>
  <c r="N114" i="1"/>
  <c r="I122" i="1"/>
  <c r="M124" i="1"/>
  <c r="J138" i="1"/>
  <c r="I102" i="1"/>
  <c r="W12" i="1"/>
  <c r="U12" i="1"/>
  <c r="V20" i="1"/>
  <c r="W25" i="1"/>
  <c r="U25" i="1"/>
  <c r="W27" i="1"/>
  <c r="W32" i="1"/>
  <c r="U32" i="1"/>
  <c r="K73" i="1"/>
  <c r="I91" i="1"/>
  <c r="J99" i="1"/>
  <c r="I103" i="1"/>
  <c r="O106" i="1"/>
  <c r="N106" i="1"/>
  <c r="I108" i="1"/>
  <c r="O109" i="1"/>
  <c r="N109" i="1"/>
  <c r="M114" i="1"/>
  <c r="K115" i="1"/>
  <c r="J115" i="1"/>
  <c r="M118" i="1"/>
  <c r="M121" i="1"/>
  <c r="O126" i="1"/>
  <c r="N126" i="1"/>
  <c r="I135" i="1"/>
  <c r="M136" i="1"/>
  <c r="I138" i="1"/>
  <c r="M139" i="1"/>
  <c r="T2" i="4"/>
  <c r="U11" i="1"/>
  <c r="V16" i="1"/>
  <c r="W20" i="1"/>
  <c r="U20" i="1"/>
  <c r="V39" i="1"/>
  <c r="W42" i="1"/>
  <c r="W48" i="1"/>
  <c r="V59" i="1"/>
  <c r="O48" i="1"/>
  <c r="N48" i="1"/>
  <c r="I50" i="1"/>
  <c r="J53" i="1"/>
  <c r="M54" i="1"/>
  <c r="I58" i="1"/>
  <c r="O60" i="1"/>
  <c r="M63" i="1"/>
  <c r="N65" i="1"/>
  <c r="N67" i="1"/>
  <c r="J86" i="1"/>
  <c r="I90" i="1"/>
  <c r="N96" i="1"/>
  <c r="I107" i="1"/>
  <c r="K122" i="1"/>
  <c r="M123" i="1"/>
  <c r="J140" i="1"/>
  <c r="N134" i="1"/>
  <c r="U16" i="1"/>
  <c r="V24" i="1"/>
  <c r="U39" i="1"/>
  <c r="V44" i="1"/>
  <c r="V54" i="1"/>
  <c r="I64" i="1"/>
  <c r="M65" i="1"/>
  <c r="M67" i="1"/>
  <c r="J74" i="1"/>
  <c r="I86" i="1"/>
  <c r="J95" i="1"/>
  <c r="M96" i="1"/>
  <c r="J97" i="1"/>
  <c r="K103" i="1"/>
  <c r="K107" i="1"/>
  <c r="O111" i="1"/>
  <c r="N111" i="1"/>
  <c r="M112" i="1"/>
  <c r="M133" i="1"/>
  <c r="I140" i="1"/>
  <c r="M134" i="1"/>
  <c r="V15" i="1"/>
  <c r="W16" i="1"/>
  <c r="V19" i="1"/>
  <c r="W24" i="1"/>
  <c r="U24" i="1"/>
  <c r="V26" i="1"/>
  <c r="W44" i="1"/>
  <c r="U44" i="1"/>
  <c r="N55" i="1"/>
  <c r="I62" i="1"/>
  <c r="J69" i="1"/>
  <c r="O90" i="1"/>
  <c r="I92" i="1"/>
  <c r="I97" i="1"/>
  <c r="I98" i="1"/>
  <c r="N120" i="1"/>
  <c r="M122" i="1"/>
  <c r="I124" i="1"/>
  <c r="M129" i="1"/>
  <c r="N135" i="1"/>
  <c r="J136" i="1"/>
  <c r="N138" i="1"/>
  <c r="N102" i="1"/>
  <c r="W19" i="1"/>
  <c r="U19" i="1"/>
  <c r="U26" i="1"/>
  <c r="V31" i="1"/>
  <c r="V35" i="1"/>
  <c r="U40" i="1"/>
  <c r="V43" i="1"/>
  <c r="V62" i="1"/>
  <c r="J71" i="1"/>
  <c r="I79" i="1"/>
  <c r="N84" i="1"/>
  <c r="M91" i="1"/>
  <c r="N99" i="1"/>
  <c r="K106" i="1"/>
  <c r="J106" i="1"/>
  <c r="N107" i="1"/>
  <c r="N115" i="1"/>
  <c r="I118" i="1"/>
  <c r="M120" i="1"/>
  <c r="K123" i="1"/>
  <c r="J123" i="1"/>
  <c r="K124" i="1"/>
  <c r="I130" i="1"/>
  <c r="M138" i="1"/>
  <c r="I139" i="1"/>
  <c r="V21" i="1"/>
  <c r="V27" i="1"/>
  <c r="W31" i="1"/>
  <c r="U31" i="1"/>
  <c r="W37" i="1"/>
  <c r="W47" i="1"/>
  <c r="W50" i="1"/>
  <c r="U50" i="1"/>
  <c r="I52" i="1"/>
  <c r="N53" i="1"/>
  <c r="I56" i="1"/>
  <c r="M58" i="1"/>
  <c r="I73" i="1"/>
  <c r="K75" i="1"/>
  <c r="J75" i="1"/>
  <c r="I93" i="1"/>
  <c r="K98" i="1"/>
  <c r="I110" i="1"/>
  <c r="J112" i="1"/>
  <c r="K118" i="1"/>
  <c r="M119" i="1"/>
  <c r="I126" i="1"/>
  <c r="J133" i="1"/>
  <c r="O136" i="1"/>
  <c r="N140" i="1"/>
  <c r="J134" i="1"/>
  <c r="W15" i="1"/>
  <c r="V18" i="1"/>
  <c r="W21" i="1"/>
  <c r="U21" i="1"/>
  <c r="W28" i="1"/>
  <c r="U28" i="1"/>
  <c r="V30" i="1"/>
  <c r="W40" i="1"/>
  <c r="W43" i="1"/>
  <c r="U58" i="1"/>
  <c r="W58" i="1"/>
  <c r="J78" i="1"/>
  <c r="O79" i="1"/>
  <c r="J80" i="1"/>
  <c r="O92" i="1"/>
  <c r="N92" i="1"/>
  <c r="N97" i="1"/>
  <c r="N101" i="1"/>
  <c r="J111" i="1"/>
  <c r="I112" i="1"/>
  <c r="N124" i="1"/>
  <c r="J129" i="1"/>
  <c r="I133" i="1"/>
  <c r="I134" i="1"/>
  <c r="W14" i="1"/>
  <c r="U14" i="1"/>
  <c r="W18" i="1"/>
  <c r="U18" i="1"/>
  <c r="V25" i="1"/>
  <c r="V32" i="1"/>
  <c r="W35" i="1"/>
  <c r="V48" i="1"/>
  <c r="W55" i="1"/>
  <c r="U55" i="1"/>
  <c r="W72" i="1"/>
  <c r="W86" i="1"/>
  <c r="W98" i="1"/>
  <c r="W135" i="1"/>
  <c r="W141" i="1"/>
  <c r="V114" i="1"/>
  <c r="V98" i="1"/>
  <c r="V139" i="1"/>
  <c r="V101" i="1"/>
  <c r="V109" i="1"/>
  <c r="V111" i="1"/>
  <c r="V63" i="1"/>
  <c r="C96" i="5"/>
  <c r="S139" i="1"/>
  <c r="Q29" i="1"/>
  <c r="Q23" i="1"/>
  <c r="Q54" i="1"/>
  <c r="W60" i="1"/>
  <c r="W83" i="1"/>
  <c r="W103" i="1"/>
  <c r="W109" i="1"/>
  <c r="W119" i="1"/>
  <c r="U68" i="1"/>
  <c r="U62" i="1"/>
  <c r="U98" i="1"/>
  <c r="U139" i="1"/>
  <c r="U122" i="1"/>
  <c r="U109" i="1"/>
  <c r="U111" i="1"/>
  <c r="U2" i="5"/>
  <c r="R68" i="1"/>
  <c r="R140" i="1"/>
  <c r="S29" i="1"/>
  <c r="S23" i="1"/>
  <c r="R28" i="1"/>
  <c r="Q55" i="1"/>
  <c r="Q86" i="1"/>
  <c r="R104" i="1"/>
  <c r="S104" i="1"/>
  <c r="W69" i="1"/>
  <c r="W121" i="1"/>
  <c r="U102" i="1"/>
  <c r="V125" i="1"/>
  <c r="V82" i="1"/>
  <c r="V71" i="1"/>
  <c r="V75" i="1"/>
  <c r="V83" i="1"/>
  <c r="V94" i="1"/>
  <c r="V133" i="1"/>
  <c r="S81" i="1"/>
  <c r="R81" i="1"/>
  <c r="Q62" i="1"/>
  <c r="S109" i="1"/>
  <c r="R109" i="1"/>
  <c r="R89" i="1"/>
  <c r="Q67" i="1"/>
  <c r="W76" i="1"/>
  <c r="W78" i="1"/>
  <c r="W91" i="1"/>
  <c r="W128" i="1"/>
  <c r="U75" i="1"/>
  <c r="U120" i="1"/>
  <c r="U60" i="1"/>
  <c r="U133" i="1"/>
  <c r="S68" i="1"/>
  <c r="R58" i="1"/>
  <c r="R95" i="1"/>
  <c r="R115" i="1"/>
  <c r="Q109" i="1"/>
  <c r="R37" i="1"/>
  <c r="S37" i="1"/>
  <c r="R99" i="1"/>
  <c r="R139" i="1"/>
  <c r="W74" i="1"/>
  <c r="W84" i="1"/>
  <c r="W108" i="1"/>
  <c r="W112" i="1"/>
  <c r="W118" i="1"/>
  <c r="W130" i="1"/>
  <c r="V141" i="1"/>
  <c r="V104" i="1"/>
  <c r="V121" i="1"/>
  <c r="V67" i="1"/>
  <c r="V108" i="1"/>
  <c r="V95" i="1"/>
  <c r="V78" i="1"/>
  <c r="V2" i="5"/>
  <c r="X2" i="5" s="1"/>
  <c r="Q58" i="1"/>
  <c r="Q95" i="1"/>
  <c r="S120" i="1"/>
  <c r="R120" i="1"/>
  <c r="R51" i="1"/>
  <c r="S51" i="1"/>
  <c r="U104" i="1"/>
  <c r="U121" i="1"/>
  <c r="U86" i="1"/>
  <c r="U108" i="1"/>
  <c r="U70" i="1"/>
  <c r="U80" i="1"/>
  <c r="U115" i="1"/>
  <c r="Q113" i="1"/>
  <c r="S88" i="1"/>
  <c r="Q120" i="1"/>
  <c r="S22" i="1"/>
  <c r="R22" i="1"/>
  <c r="S52" i="1"/>
  <c r="S40" i="1"/>
  <c r="R40" i="1"/>
  <c r="Q74" i="1"/>
  <c r="W75" i="1"/>
  <c r="W80" i="1"/>
  <c r="W89" i="1"/>
  <c r="W99" i="1"/>
  <c r="V128" i="1"/>
  <c r="V110" i="1"/>
  <c r="V84" i="1"/>
  <c r="V129" i="1"/>
  <c r="V91" i="1"/>
  <c r="V119" i="1"/>
  <c r="V74" i="1"/>
  <c r="V69" i="1"/>
  <c r="V130" i="1"/>
  <c r="S130" i="1"/>
  <c r="R130" i="1"/>
  <c r="S113" i="1"/>
  <c r="S111" i="1"/>
  <c r="R111" i="1"/>
  <c r="S119" i="1"/>
  <c r="R119" i="1"/>
  <c r="R131" i="1"/>
  <c r="S131" i="1"/>
  <c r="U89" i="1"/>
  <c r="U66" i="1"/>
  <c r="U110" i="1"/>
  <c r="U99" i="1"/>
  <c r="U134" i="1"/>
  <c r="U129" i="1"/>
  <c r="U72" i="1"/>
  <c r="U130" i="1"/>
  <c r="S12" i="1"/>
  <c r="R12" i="1"/>
  <c r="Q139" i="1"/>
  <c r="Q130" i="1"/>
  <c r="Q111" i="1"/>
  <c r="S54" i="1"/>
  <c r="R54" i="1"/>
  <c r="S25" i="1"/>
  <c r="R25" i="1"/>
  <c r="Q27" i="1"/>
  <c r="S14" i="1"/>
  <c r="R14" i="1"/>
  <c r="R121" i="1"/>
  <c r="Q24" i="1"/>
  <c r="R10" i="1"/>
  <c r="Q63" i="1"/>
  <c r="S56" i="1"/>
  <c r="S86" i="1"/>
  <c r="Q53" i="1"/>
  <c r="Q121" i="1"/>
  <c r="R84" i="1"/>
  <c r="R136" i="1"/>
  <c r="Q40" i="1"/>
  <c r="R74" i="1"/>
  <c r="R103" i="1"/>
  <c r="Q10" i="1"/>
  <c r="S35" i="1"/>
  <c r="R35" i="1"/>
  <c r="Q102" i="1"/>
  <c r="R90" i="1"/>
  <c r="R45" i="1"/>
  <c r="R134" i="1"/>
  <c r="Q84" i="1"/>
  <c r="R98" i="1"/>
  <c r="Q136" i="1"/>
  <c r="R48" i="1"/>
  <c r="Q90" i="1"/>
  <c r="S42" i="1"/>
  <c r="S53" i="1"/>
  <c r="R53" i="1"/>
  <c r="Q45" i="1"/>
  <c r="Q134" i="1"/>
  <c r="Q98" i="1"/>
  <c r="Q48" i="1"/>
  <c r="R16" i="1"/>
  <c r="S71" i="1"/>
  <c r="Q131" i="1"/>
  <c r="Q18" i="1"/>
  <c r="R62" i="1"/>
  <c r="R126" i="1"/>
  <c r="Q116" i="1"/>
  <c r="R108" i="1"/>
  <c r="R72" i="1"/>
  <c r="Q20" i="1"/>
  <c r="Q30" i="1"/>
  <c r="Q25" i="1"/>
  <c r="Q16" i="1"/>
  <c r="S84" i="1"/>
  <c r="S24" i="1"/>
  <c r="S116" i="1"/>
  <c r="S69" i="1"/>
  <c r="S43" i="1"/>
  <c r="R46" i="1"/>
  <c r="Q104" i="1"/>
  <c r="R93" i="1"/>
  <c r="Q126" i="1"/>
  <c r="R91" i="1"/>
  <c r="Q72" i="1"/>
  <c r="Q78" i="1"/>
  <c r="R21" i="1"/>
  <c r="S108" i="1"/>
  <c r="S49" i="1"/>
  <c r="R49" i="1"/>
  <c r="S100" i="1"/>
  <c r="R102" i="1"/>
  <c r="Q100" i="1"/>
  <c r="Q97" i="1"/>
  <c r="Q91" i="1"/>
  <c r="Q105" i="1"/>
  <c r="R69" i="1"/>
  <c r="S137" i="1"/>
  <c r="R137" i="1"/>
  <c r="S50" i="1"/>
  <c r="S82" i="1"/>
  <c r="S46" i="1"/>
  <c r="S74" i="1"/>
  <c r="S16" i="1"/>
  <c r="R36" i="1"/>
  <c r="Q79" i="1"/>
  <c r="Q82" i="1"/>
  <c r="R43" i="1"/>
  <c r="Q69" i="1"/>
  <c r="W2" i="5"/>
  <c r="L96" i="5"/>
  <c r="E2" i="5"/>
  <c r="M96" i="5"/>
  <c r="S58" i="1"/>
  <c r="S95" i="1"/>
  <c r="S115" i="1"/>
  <c r="S89" i="1"/>
  <c r="S129" i="1"/>
  <c r="S26" i="1"/>
  <c r="S107" i="1"/>
  <c r="N96" i="5"/>
  <c r="S75" i="1"/>
  <c r="S20" i="1"/>
  <c r="D96" i="5"/>
  <c r="G96" i="5"/>
  <c r="O96" i="5"/>
  <c r="S128" i="1"/>
  <c r="S27" i="1"/>
  <c r="S73" i="1"/>
  <c r="S121" i="1"/>
  <c r="I96" i="5"/>
  <c r="Y2" i="5"/>
  <c r="S97" i="1"/>
  <c r="J2" i="5"/>
  <c r="Z2" i="5"/>
  <c r="S61" i="1"/>
  <c r="S28" i="1"/>
  <c r="S70" i="1"/>
  <c r="S41" i="1"/>
  <c r="S63" i="1"/>
  <c r="S79" i="1"/>
  <c r="S105" i="1"/>
  <c r="S118" i="1"/>
  <c r="S47" i="1"/>
  <c r="S85" i="1"/>
  <c r="S99" i="1"/>
  <c r="S132" i="1"/>
  <c r="V2" i="4"/>
  <c r="J99" i="4"/>
  <c r="W136" i="1"/>
  <c r="W51" i="1"/>
  <c r="W61" i="1"/>
  <c r="K99" i="4"/>
  <c r="W26" i="1"/>
  <c r="W125" i="1"/>
  <c r="C99" i="4"/>
  <c r="D99" i="4"/>
  <c r="L99" i="4"/>
  <c r="W39" i="1"/>
  <c r="W56" i="1"/>
  <c r="W71" i="1"/>
  <c r="W67" i="1"/>
  <c r="W87" i="1"/>
  <c r="W45" i="1"/>
  <c r="W106" i="1"/>
  <c r="I99" i="4"/>
  <c r="M99" i="4"/>
  <c r="G99" i="4"/>
  <c r="W11" i="1"/>
  <c r="W2" i="4"/>
  <c r="W93" i="1"/>
  <c r="W82" i="1"/>
  <c r="W101" i="1"/>
  <c r="W94" i="1"/>
  <c r="W114" i="1"/>
  <c r="W115" i="1"/>
  <c r="W127" i="1"/>
  <c r="W139" i="1"/>
  <c r="T93" i="3"/>
  <c r="AB2" i="3"/>
  <c r="K2" i="3" s="1"/>
  <c r="K17" i="1"/>
  <c r="D93" i="3"/>
  <c r="N93" i="3"/>
  <c r="V93" i="3"/>
  <c r="O14" i="1"/>
  <c r="O15" i="1"/>
  <c r="O13" i="1"/>
  <c r="O93" i="3"/>
  <c r="W93" i="3"/>
  <c r="AC2" i="3"/>
  <c r="AX2" i="3"/>
  <c r="K15" i="1"/>
  <c r="C93" i="3"/>
  <c r="E2" i="3"/>
  <c r="X93" i="3"/>
  <c r="O16" i="1"/>
  <c r="O20" i="1"/>
  <c r="S2" i="3"/>
  <c r="Q93" i="3"/>
  <c r="Y93" i="3"/>
  <c r="K13" i="1"/>
  <c r="K38" i="1"/>
  <c r="Z93" i="3"/>
  <c r="BA2" i="3"/>
  <c r="K12" i="1"/>
  <c r="K21" i="1"/>
  <c r="O27" i="1"/>
  <c r="U93" i="3"/>
  <c r="O28" i="1"/>
  <c r="K96" i="1"/>
  <c r="K27" i="1"/>
  <c r="K29" i="1"/>
  <c r="K28" i="1"/>
  <c r="O35" i="1"/>
  <c r="O68" i="1"/>
  <c r="K41" i="1"/>
  <c r="K42" i="1"/>
  <c r="O47" i="1"/>
  <c r="K53" i="1"/>
  <c r="K54" i="1"/>
  <c r="O58" i="1"/>
  <c r="O61" i="1"/>
  <c r="K40" i="1"/>
  <c r="O43" i="1"/>
  <c r="K50" i="1"/>
  <c r="K52" i="1"/>
  <c r="O55" i="1"/>
  <c r="K60" i="1"/>
  <c r="O65" i="1"/>
  <c r="K67" i="1"/>
  <c r="K91" i="1"/>
  <c r="K37" i="1"/>
  <c r="O41" i="1"/>
  <c r="K47" i="1"/>
  <c r="K48" i="1"/>
  <c r="O53" i="1"/>
  <c r="K58" i="1"/>
  <c r="K62" i="1"/>
  <c r="O63" i="1"/>
  <c r="K64" i="1"/>
  <c r="K109" i="1"/>
  <c r="K84" i="1"/>
  <c r="K43" i="1"/>
  <c r="K45" i="1"/>
  <c r="O50" i="1"/>
  <c r="K55" i="1"/>
  <c r="K56" i="1"/>
  <c r="K92" i="1"/>
  <c r="O62" i="1"/>
  <c r="O64" i="1"/>
  <c r="O67" i="1"/>
  <c r="K71" i="1"/>
  <c r="O75" i="1"/>
  <c r="K80" i="1"/>
  <c r="K70" i="1"/>
  <c r="K74" i="1"/>
  <c r="O95" i="1"/>
  <c r="O103" i="1"/>
  <c r="O70" i="1"/>
  <c r="O80" i="1"/>
  <c r="O84" i="1"/>
  <c r="O98" i="1"/>
  <c r="K101" i="1"/>
  <c r="O72" i="1"/>
  <c r="K78" i="1"/>
  <c r="K79" i="1"/>
  <c r="O86" i="1"/>
  <c r="K93" i="1"/>
  <c r="K97" i="1"/>
  <c r="O99" i="1"/>
  <c r="K102" i="1"/>
  <c r="O112" i="1"/>
  <c r="K114" i="1"/>
  <c r="O78" i="1"/>
  <c r="K86" i="1"/>
  <c r="K90" i="1"/>
  <c r="O93" i="1"/>
  <c r="K95" i="1"/>
  <c r="O97" i="1"/>
  <c r="K99" i="1"/>
  <c r="O102" i="1"/>
  <c r="O107" i="1"/>
  <c r="O91" i="1"/>
  <c r="O133" i="1"/>
  <c r="K119" i="1"/>
  <c r="O122" i="1"/>
  <c r="O130" i="1"/>
  <c r="K108" i="1"/>
  <c r="K121" i="1"/>
  <c r="K135" i="1"/>
  <c r="O123" i="1"/>
  <c r="K126" i="1"/>
  <c r="O119" i="1"/>
  <c r="O121" i="1"/>
  <c r="O124" i="1"/>
  <c r="K130" i="1"/>
  <c r="O115" i="1"/>
  <c r="O118" i="1"/>
  <c r="K129" i="1"/>
  <c r="O138" i="1"/>
  <c r="O140" i="1"/>
  <c r="O139" i="1"/>
  <c r="K138" i="1"/>
  <c r="K140" i="1"/>
  <c r="U76" i="2"/>
  <c r="U36" i="2"/>
  <c r="V71" i="2"/>
  <c r="G14" i="1"/>
  <c r="T4" i="2"/>
  <c r="H14" i="2"/>
  <c r="V14" i="2" s="1"/>
  <c r="H44" i="2"/>
  <c r="V44" i="2" s="1"/>
  <c r="T32" i="2"/>
  <c r="G51" i="1"/>
  <c r="W58" i="2"/>
  <c r="K98" i="2"/>
  <c r="D98" i="2"/>
  <c r="L98" i="2"/>
  <c r="T80" i="2"/>
  <c r="T95" i="2"/>
  <c r="G16" i="1"/>
  <c r="G133" i="1"/>
  <c r="G111" i="1"/>
  <c r="G112" i="1"/>
  <c r="G55" i="1"/>
  <c r="G90" i="1"/>
  <c r="W2" i="2"/>
  <c r="H47" i="2"/>
  <c r="V47" i="2" s="1"/>
  <c r="T37" i="2"/>
  <c r="G50" i="1"/>
  <c r="T82" i="2"/>
  <c r="T40" i="2"/>
  <c r="W55" i="2"/>
  <c r="G61" i="1"/>
  <c r="W48" i="2"/>
  <c r="G119" i="1"/>
  <c r="W96" i="2"/>
  <c r="G38" i="1"/>
  <c r="T21" i="2"/>
  <c r="V21" i="2" s="1"/>
  <c r="S18" i="2"/>
  <c r="H18" i="2"/>
  <c r="T18" i="2"/>
  <c r="S38" i="2"/>
  <c r="X38" i="2"/>
  <c r="W38" i="2"/>
  <c r="C98" i="2"/>
  <c r="S90" i="2"/>
  <c r="S47" i="2"/>
  <c r="X54" i="2"/>
  <c r="T84" i="2"/>
  <c r="E69" i="2"/>
  <c r="T20" i="2"/>
  <c r="T25" i="2"/>
  <c r="G43" i="1"/>
  <c r="W43" i="2"/>
  <c r="X9" i="2"/>
  <c r="X74" i="2"/>
  <c r="S11" i="2"/>
  <c r="X11" i="2"/>
  <c r="W24" i="2"/>
  <c r="H40" i="2"/>
  <c r="U40" i="2" s="1"/>
  <c r="X52" i="2"/>
  <c r="S55" i="2"/>
  <c r="X55" i="2"/>
  <c r="X8" i="2"/>
  <c r="S48" i="2"/>
  <c r="X48" i="2"/>
  <c r="S93" i="2"/>
  <c r="E97" i="2"/>
  <c r="S96" i="2"/>
  <c r="X96" i="2"/>
  <c r="V58" i="2"/>
  <c r="S58" i="2"/>
  <c r="T26" i="2"/>
  <c r="V26" i="2" s="1"/>
  <c r="G44" i="1"/>
  <c r="G23" i="1"/>
  <c r="T10" i="2"/>
  <c r="V11" i="2"/>
  <c r="W86" i="2"/>
  <c r="M98" i="2"/>
  <c r="W9" i="2"/>
  <c r="G98" i="2"/>
  <c r="G102" i="1"/>
  <c r="W70" i="2"/>
  <c r="S71" i="2"/>
  <c r="U71" i="2" s="1"/>
  <c r="W37" i="2"/>
  <c r="S82" i="2"/>
  <c r="X82" i="2"/>
  <c r="W52" i="2"/>
  <c r="T72" i="2"/>
  <c r="S14" i="2"/>
  <c r="X14" i="2"/>
  <c r="W8" i="2"/>
  <c r="T57" i="2"/>
  <c r="S44" i="2"/>
  <c r="X44" i="2"/>
  <c r="T93" i="2"/>
  <c r="G135" i="1"/>
  <c r="T50" i="2"/>
  <c r="V50" i="2" s="1"/>
  <c r="G72" i="1"/>
  <c r="G136" i="1"/>
  <c r="T94" i="2"/>
  <c r="V94" i="2" s="1"/>
  <c r="T5" i="2"/>
  <c r="S5" i="2"/>
  <c r="H5" i="2"/>
  <c r="W71" i="2"/>
  <c r="G67" i="1"/>
  <c r="T45" i="2"/>
  <c r="E70" i="2"/>
  <c r="U70" i="2"/>
  <c r="T76" i="2"/>
  <c r="W47" i="2"/>
  <c r="T28" i="2"/>
  <c r="S24" i="2"/>
  <c r="X24" i="2"/>
  <c r="G91" i="1"/>
  <c r="T89" i="2"/>
  <c r="V89" i="2" s="1"/>
  <c r="G129" i="1"/>
  <c r="T30" i="2"/>
  <c r="V30" i="2" s="1"/>
  <c r="G49" i="1"/>
  <c r="W13" i="2"/>
  <c r="S13" i="2"/>
  <c r="U13" i="2" s="1"/>
  <c r="X70" i="2"/>
  <c r="I98" i="2"/>
  <c r="T63" i="2"/>
  <c r="V63" i="2" s="1"/>
  <c r="S19" i="2"/>
  <c r="U19" i="2" s="1"/>
  <c r="H72" i="2"/>
  <c r="G105" i="1"/>
  <c r="H57" i="2"/>
  <c r="G83" i="1"/>
  <c r="S97" i="2"/>
  <c r="H53" i="2"/>
  <c r="T65" i="2"/>
  <c r="S65" i="2"/>
  <c r="T67" i="2"/>
  <c r="H67" i="2"/>
  <c r="S16" i="2"/>
  <c r="U16" i="2" s="1"/>
  <c r="X16" i="2"/>
  <c r="W16" i="2"/>
  <c r="W75" i="2"/>
  <c r="S21" i="2"/>
  <c r="U21" i="2" s="1"/>
  <c r="W21" i="2"/>
  <c r="G100" i="1"/>
  <c r="T68" i="2"/>
  <c r="E92" i="2"/>
  <c r="W7" i="2"/>
  <c r="E38" i="2"/>
  <c r="T64" i="2"/>
  <c r="G116" i="1"/>
  <c r="T81" i="2"/>
  <c r="T66" i="2"/>
  <c r="S33" i="2"/>
  <c r="W33" i="2"/>
  <c r="T73" i="2"/>
  <c r="G106" i="1"/>
  <c r="T51" i="2"/>
  <c r="S41" i="2"/>
  <c r="T22" i="2"/>
  <c r="V22" i="2" s="1"/>
  <c r="S83" i="2"/>
  <c r="U83" i="2" s="1"/>
  <c r="T87" i="2"/>
  <c r="V87" i="2" s="1"/>
  <c r="H25" i="2"/>
  <c r="U25" i="2" s="1"/>
  <c r="T13" i="2"/>
  <c r="V13" i="2" s="1"/>
  <c r="S7" i="2"/>
  <c r="W15" i="2"/>
  <c r="S15" i="2"/>
  <c r="U15" i="2" s="1"/>
  <c r="X15" i="2"/>
  <c r="E53" i="2"/>
  <c r="T96" i="2"/>
  <c r="T59" i="2"/>
  <c r="H65" i="2"/>
  <c r="H66" i="2"/>
  <c r="U66" i="2" s="1"/>
  <c r="S45" i="2"/>
  <c r="U45" i="2" s="1"/>
  <c r="W45" i="2"/>
  <c r="S92" i="2"/>
  <c r="H51" i="2"/>
  <c r="S61" i="2"/>
  <c r="W94" i="2"/>
  <c r="S94" i="2"/>
  <c r="U94" i="2" s="1"/>
  <c r="X94" i="2"/>
  <c r="E5" i="2"/>
  <c r="X21" i="2"/>
  <c r="W92" i="2"/>
  <c r="T27" i="2"/>
  <c r="V27" i="2" s="1"/>
  <c r="G45" i="1"/>
  <c r="G53" i="1"/>
  <c r="S85" i="2"/>
  <c r="T56" i="2"/>
  <c r="V56" i="2" s="1"/>
  <c r="S3" i="2"/>
  <c r="T23" i="2"/>
  <c r="S67" i="2"/>
  <c r="T85" i="2"/>
  <c r="S77" i="2"/>
  <c r="T3" i="2"/>
  <c r="V3" i="2" s="1"/>
  <c r="S51" i="2"/>
  <c r="W3" i="2"/>
  <c r="V46" i="2" l="1"/>
  <c r="P101" i="2"/>
  <c r="U85" i="2"/>
  <c r="U7" i="2"/>
  <c r="V80" i="2"/>
  <c r="U62" i="2"/>
  <c r="U56" i="2"/>
  <c r="U59" i="2"/>
  <c r="U57" i="2"/>
  <c r="V28" i="2"/>
  <c r="V93" i="2"/>
  <c r="U58" i="2"/>
  <c r="U84" i="2"/>
  <c r="U64" i="2"/>
  <c r="V45" i="2"/>
  <c r="V85" i="2"/>
  <c r="V96" i="2"/>
  <c r="U11" i="2"/>
  <c r="V4" i="2"/>
  <c r="V74" i="2"/>
  <c r="V70" i="2"/>
  <c r="V86" i="2"/>
  <c r="U3" i="2"/>
  <c r="V81" i="2"/>
  <c r="V76" i="2"/>
  <c r="V60" i="2"/>
  <c r="V20" i="2"/>
  <c r="V95" i="2"/>
  <c r="U32" i="2"/>
  <c r="U6" i="2"/>
  <c r="V92" i="2"/>
  <c r="V59" i="2"/>
  <c r="V38" i="2"/>
  <c r="V7" i="2"/>
  <c r="U4" i="2"/>
  <c r="AF103" i="3"/>
  <c r="P100" i="4"/>
  <c r="P103" i="4"/>
  <c r="R103" i="5"/>
  <c r="AK100" i="3"/>
  <c r="AK102" i="3"/>
  <c r="AK103" i="3"/>
  <c r="AF100" i="3"/>
  <c r="AF102" i="3"/>
  <c r="AF101" i="3"/>
  <c r="P102" i="4"/>
  <c r="R101" i="5"/>
  <c r="AK101" i="3"/>
  <c r="P101" i="4"/>
  <c r="R102" i="5"/>
  <c r="V41" i="2"/>
  <c r="U23" i="2"/>
  <c r="V6" i="2"/>
  <c r="U41" i="2"/>
  <c r="U61" i="2"/>
  <c r="V37" i="2"/>
  <c r="U95" i="2"/>
  <c r="U93" i="2"/>
  <c r="U60" i="2"/>
  <c r="V53" i="2"/>
  <c r="V35" i="2"/>
  <c r="U42" i="2"/>
  <c r="U80" i="2"/>
  <c r="V43" i="2"/>
  <c r="U78" i="2"/>
  <c r="V23" i="2"/>
  <c r="V36" i="2"/>
  <c r="V32" i="2"/>
  <c r="V68" i="2"/>
  <c r="V78" i="2"/>
  <c r="U79" i="2"/>
  <c r="V42" i="2"/>
  <c r="V97" i="2"/>
  <c r="U77" i="2"/>
  <c r="U97" i="2"/>
  <c r="U48" i="2"/>
  <c r="P102" i="2"/>
  <c r="P100" i="2"/>
  <c r="P103" i="2"/>
  <c r="U74" i="2"/>
  <c r="V64" i="2"/>
  <c r="U50" i="2"/>
  <c r="U72" i="2"/>
  <c r="W98" i="2"/>
  <c r="U31" i="2"/>
  <c r="V19" i="2"/>
  <c r="U34" i="2"/>
  <c r="V73" i="2"/>
  <c r="U63" i="2"/>
  <c r="U12" i="2"/>
  <c r="V82" i="2"/>
  <c r="U54" i="2"/>
  <c r="J96" i="5"/>
  <c r="N99" i="4"/>
  <c r="AC7" i="4" s="1"/>
  <c r="H2" i="3"/>
  <c r="V52" i="2"/>
  <c r="U81" i="2"/>
  <c r="U43" i="2"/>
  <c r="U17" i="2"/>
  <c r="V61" i="2"/>
  <c r="AE93" i="3"/>
  <c r="BG11" i="3" s="1"/>
  <c r="U92" i="2"/>
  <c r="U26" i="2"/>
  <c r="U44" i="2"/>
  <c r="U38" i="2"/>
  <c r="U10" i="2"/>
  <c r="V10" i="2"/>
  <c r="V79" i="2"/>
  <c r="U33" i="2"/>
  <c r="U82" i="2"/>
  <c r="U96" i="2"/>
  <c r="U90" i="2"/>
  <c r="V33" i="2"/>
  <c r="U28" i="2"/>
  <c r="V2" i="2"/>
  <c r="U39" i="2"/>
  <c r="V55" i="2"/>
  <c r="U86" i="2"/>
  <c r="V69" i="2"/>
  <c r="U37" i="2"/>
  <c r="V39" i="2"/>
  <c r="V54" i="2"/>
  <c r="V18" i="2"/>
  <c r="V48" i="2"/>
  <c r="U2" i="2"/>
  <c r="V84" i="2"/>
  <c r="V72" i="2"/>
  <c r="U24" i="2"/>
  <c r="U55" i="2"/>
  <c r="V12" i="2"/>
  <c r="U88" i="2"/>
  <c r="V29" i="2"/>
  <c r="N98" i="2"/>
  <c r="AD7" i="2" s="1"/>
  <c r="U52" i="2"/>
  <c r="U68" i="2"/>
  <c r="V62" i="2"/>
  <c r="U51" i="2"/>
  <c r="V51" i="2"/>
  <c r="H99" i="4"/>
  <c r="F99" i="4" s="1"/>
  <c r="V90" i="2"/>
  <c r="U14" i="2"/>
  <c r="G93" i="3"/>
  <c r="F93" i="3" s="1"/>
  <c r="U20" i="2"/>
  <c r="V24" i="2"/>
  <c r="P96" i="5"/>
  <c r="P100" i="5" s="1"/>
  <c r="S140" i="1"/>
  <c r="U67" i="2"/>
  <c r="AD93" i="3"/>
  <c r="H96" i="5"/>
  <c r="F96" i="5" s="1"/>
  <c r="E99" i="4"/>
  <c r="X99" i="4"/>
  <c r="V31" i="2"/>
  <c r="V9" i="2"/>
  <c r="U9" i="2"/>
  <c r="P98" i="2"/>
  <c r="R96" i="5"/>
  <c r="R100" i="5" s="1"/>
  <c r="P99" i="4"/>
  <c r="Z96" i="5"/>
  <c r="E96" i="5"/>
  <c r="V96" i="5"/>
  <c r="Y96" i="5"/>
  <c r="Q96" i="5"/>
  <c r="Q100" i="5" s="1"/>
  <c r="U96" i="5"/>
  <c r="W99" i="4"/>
  <c r="T99" i="4"/>
  <c r="O99" i="4"/>
  <c r="AC8" i="4" s="1"/>
  <c r="S99" i="4"/>
  <c r="AC93" i="3"/>
  <c r="AB93" i="3"/>
  <c r="BG8" i="3" s="1"/>
  <c r="BH8" i="3" s="1"/>
  <c r="BA93" i="3"/>
  <c r="S93" i="3"/>
  <c r="BH7" i="3" s="1"/>
  <c r="I2" i="3"/>
  <c r="P93" i="3"/>
  <c r="AX93" i="3"/>
  <c r="AY93" i="3"/>
  <c r="AZ93" i="3"/>
  <c r="E93" i="3"/>
  <c r="AK93" i="3"/>
  <c r="L2" i="3"/>
  <c r="AF93" i="3"/>
  <c r="AI93" i="3"/>
  <c r="BH10" i="3" s="1"/>
  <c r="AJ93" i="3"/>
  <c r="BH11" i="3" s="1"/>
  <c r="S98" i="2"/>
  <c r="V57" i="2"/>
  <c r="V40" i="2"/>
  <c r="T98" i="2"/>
  <c r="E98" i="2"/>
  <c r="U53" i="2"/>
  <c r="O98" i="2"/>
  <c r="AD8" i="2" s="1"/>
  <c r="V25" i="2"/>
  <c r="V66" i="2"/>
  <c r="V67" i="2"/>
  <c r="U47" i="2"/>
  <c r="H98" i="2"/>
  <c r="F98" i="2" s="1"/>
  <c r="U5" i="2"/>
  <c r="X98" i="2"/>
  <c r="V5" i="2"/>
  <c r="U18" i="2"/>
  <c r="E5" i="1" l="1"/>
  <c r="AE7" i="5"/>
  <c r="AE8" i="5"/>
  <c r="BG10" i="3"/>
  <c r="H93" i="3"/>
  <c r="BG12" i="3"/>
  <c r="BH12" i="3"/>
  <c r="AD9" i="2"/>
  <c r="AE9" i="5"/>
  <c r="AC9" i="4"/>
  <c r="W96" i="5"/>
  <c r="AE2" i="5"/>
  <c r="X96" i="5"/>
  <c r="AE3" i="5"/>
  <c r="V99" i="4"/>
  <c r="AC3" i="4"/>
  <c r="U99" i="4"/>
  <c r="AC2" i="4"/>
  <c r="BG7" i="3"/>
  <c r="I93" i="3"/>
  <c r="J2" i="3"/>
  <c r="AO2" i="3"/>
  <c r="AN2" i="3"/>
  <c r="L93" i="3"/>
  <c r="M2" i="3"/>
  <c r="AP2" i="3"/>
  <c r="AQ2" i="3"/>
  <c r="K93" i="3"/>
  <c r="U98" i="2"/>
  <c r="AD2" i="2"/>
  <c r="V98" i="2"/>
  <c r="AD3" i="2"/>
  <c r="Q80" i="2" l="1"/>
  <c r="Q43" i="2"/>
  <c r="Q6" i="2"/>
  <c r="Q78" i="2"/>
  <c r="Q36" i="2"/>
  <c r="Q76" i="2"/>
  <c r="Q74" i="2"/>
  <c r="Q2" i="2"/>
  <c r="Q54" i="2"/>
  <c r="Q71" i="2"/>
  <c r="Q10" i="2"/>
  <c r="Q19" i="2"/>
  <c r="Q24" i="2"/>
  <c r="Q86" i="2"/>
  <c r="Q4" i="2"/>
  <c r="Q17" i="2"/>
  <c r="Q55" i="2"/>
  <c r="Q14" i="2"/>
  <c r="Q22" i="2"/>
  <c r="Q69" i="2"/>
  <c r="Q48" i="2"/>
  <c r="Q44" i="2"/>
  <c r="Q87" i="2"/>
  <c r="Q93" i="2"/>
  <c r="Q29" i="2"/>
  <c r="Q15" i="2"/>
  <c r="Q64" i="2"/>
  <c r="Q96" i="2"/>
  <c r="Q75" i="2"/>
  <c r="Q94" i="2"/>
  <c r="Q59" i="2"/>
  <c r="Q21" i="2"/>
  <c r="Q65" i="2"/>
  <c r="Q66" i="2"/>
  <c r="Q45" i="2"/>
  <c r="Q35" i="2"/>
  <c r="Q13" i="2"/>
  <c r="Q88" i="2"/>
  <c r="Q33" i="2"/>
  <c r="Q42" i="2"/>
  <c r="Q85" i="2"/>
  <c r="Q46" i="2"/>
  <c r="Q16" i="2"/>
  <c r="Q62" i="2"/>
  <c r="Q3" i="2"/>
  <c r="Q39" i="2"/>
  <c r="Q27" i="2"/>
  <c r="Q51" i="2"/>
  <c r="Q95" i="2"/>
  <c r="Q9" i="2"/>
  <c r="Q91" i="2"/>
  <c r="Q79" i="2"/>
  <c r="Q60" i="2"/>
  <c r="Q90" i="2"/>
  <c r="Q63" i="2"/>
  <c r="Q47" i="2"/>
  <c r="Q28" i="2"/>
  <c r="Q11" i="2"/>
  <c r="Q12" i="2"/>
  <c r="Q37" i="2"/>
  <c r="Q31" i="2"/>
  <c r="Q82" i="2"/>
  <c r="Q40" i="2"/>
  <c r="Q52" i="2"/>
  <c r="Q72" i="2"/>
  <c r="Q41" i="2"/>
  <c r="Q84" i="2"/>
  <c r="Q8" i="2"/>
  <c r="Q57" i="2"/>
  <c r="Q83" i="2"/>
  <c r="Q20" i="2"/>
  <c r="Q50" i="2"/>
  <c r="Q97" i="2"/>
  <c r="Q61" i="2"/>
  <c r="Q53" i="2"/>
  <c r="Q32" i="2"/>
  <c r="Q49" i="2"/>
  <c r="Q25" i="2"/>
  <c r="Q5" i="2"/>
  <c r="Q89" i="2"/>
  <c r="Q81" i="2"/>
  <c r="Q18" i="2"/>
  <c r="Q30" i="2"/>
  <c r="Q58" i="2"/>
  <c r="Q68" i="2"/>
  <c r="Q92" i="2"/>
  <c r="Q73" i="2"/>
  <c r="Q67" i="2"/>
  <c r="Q56" i="2"/>
  <c r="Q7" i="2"/>
  <c r="Q26" i="2"/>
  <c r="Q77" i="2"/>
  <c r="Q23" i="2"/>
  <c r="Q38" i="2"/>
  <c r="Q34" i="2"/>
  <c r="R80" i="2"/>
  <c r="R43" i="2"/>
  <c r="R6" i="2"/>
  <c r="R78" i="2"/>
  <c r="R36" i="2"/>
  <c r="R76" i="2"/>
  <c r="R74" i="2"/>
  <c r="R2" i="2"/>
  <c r="R54" i="2"/>
  <c r="R71" i="2"/>
  <c r="R10" i="2"/>
  <c r="R19" i="2"/>
  <c r="R24" i="2"/>
  <c r="R86" i="2"/>
  <c r="R4" i="2"/>
  <c r="R17" i="2"/>
  <c r="R55" i="2"/>
  <c r="R14" i="2"/>
  <c r="R22" i="2"/>
  <c r="R69" i="2"/>
  <c r="R48" i="2"/>
  <c r="R44" i="2"/>
  <c r="R87" i="2"/>
  <c r="R93" i="2"/>
  <c r="R29" i="2"/>
  <c r="R15" i="2"/>
  <c r="R64" i="2"/>
  <c r="R96" i="2"/>
  <c r="R75" i="2"/>
  <c r="R94" i="2"/>
  <c r="R59" i="2"/>
  <c r="R21" i="2"/>
  <c r="R65" i="2"/>
  <c r="R66" i="2"/>
  <c r="R45" i="2"/>
  <c r="R35" i="2"/>
  <c r="R13" i="2"/>
  <c r="R88" i="2"/>
  <c r="R33" i="2"/>
  <c r="R42" i="2"/>
  <c r="R85" i="2"/>
  <c r="R46" i="2"/>
  <c r="R16" i="2"/>
  <c r="R62" i="2"/>
  <c r="R3" i="2"/>
  <c r="R39" i="2"/>
  <c r="R27" i="2"/>
  <c r="R51" i="2"/>
  <c r="R95" i="2"/>
  <c r="R9" i="2"/>
  <c r="R91" i="2"/>
  <c r="R79" i="2"/>
  <c r="R60" i="2"/>
  <c r="R90" i="2"/>
  <c r="R63" i="2"/>
  <c r="R47" i="2"/>
  <c r="R28" i="2"/>
  <c r="R11" i="2"/>
  <c r="R12" i="2"/>
  <c r="R37" i="2"/>
  <c r="R31" i="2"/>
  <c r="R82" i="2"/>
  <c r="R40" i="2"/>
  <c r="R52" i="2"/>
  <c r="R72" i="2"/>
  <c r="R41" i="2"/>
  <c r="R84" i="2"/>
  <c r="R8" i="2"/>
  <c r="R57" i="2"/>
  <c r="R83" i="2"/>
  <c r="R20" i="2"/>
  <c r="R50" i="2"/>
  <c r="R97" i="2"/>
  <c r="R61" i="2"/>
  <c r="R53" i="2"/>
  <c r="R32" i="2"/>
  <c r="R49" i="2"/>
  <c r="R25" i="2"/>
  <c r="R5" i="2"/>
  <c r="R89" i="2"/>
  <c r="R81" i="2"/>
  <c r="R18" i="2"/>
  <c r="R30" i="2"/>
  <c r="R58" i="2"/>
  <c r="R68" i="2"/>
  <c r="R92" i="2"/>
  <c r="R73" i="2"/>
  <c r="R67" i="2"/>
  <c r="R56" i="2"/>
  <c r="R7" i="2"/>
  <c r="R26" i="2"/>
  <c r="R77" i="2"/>
  <c r="R23" i="2"/>
  <c r="R38" i="2"/>
  <c r="R34" i="2"/>
  <c r="Q6" i="4"/>
  <c r="Q10" i="4"/>
  <c r="Q14" i="4"/>
  <c r="Q18" i="4"/>
  <c r="Q22" i="4"/>
  <c r="Q26" i="4"/>
  <c r="Q30" i="4"/>
  <c r="Q34" i="4"/>
  <c r="Q38" i="4"/>
  <c r="Q42" i="4"/>
  <c r="Q46" i="4"/>
  <c r="Q50" i="4"/>
  <c r="Q54" i="4"/>
  <c r="Q58" i="4"/>
  <c r="Q62" i="4"/>
  <c r="Q66" i="4"/>
  <c r="Q70" i="4"/>
  <c r="Q74" i="4"/>
  <c r="Q78" i="4"/>
  <c r="Q82" i="4"/>
  <c r="Q86" i="4"/>
  <c r="Q90" i="4"/>
  <c r="Q94" i="4"/>
  <c r="Q98" i="4"/>
  <c r="Q3" i="4"/>
  <c r="Q7" i="4"/>
  <c r="Q11" i="4"/>
  <c r="Q15" i="4"/>
  <c r="Q19" i="4"/>
  <c r="Q23" i="4"/>
  <c r="Q27" i="4"/>
  <c r="Q31" i="4"/>
  <c r="Q35" i="4"/>
  <c r="Q39" i="4"/>
  <c r="Q43" i="4"/>
  <c r="Q47" i="4"/>
  <c r="Q51" i="4"/>
  <c r="Q55" i="4"/>
  <c r="Q59" i="4"/>
  <c r="Q63" i="4"/>
  <c r="Q67" i="4"/>
  <c r="Q71" i="4"/>
  <c r="Q75" i="4"/>
  <c r="Q79" i="4"/>
  <c r="Q83" i="4"/>
  <c r="Q87" i="4"/>
  <c r="Q91" i="4"/>
  <c r="Q95" i="4"/>
  <c r="Q4" i="4"/>
  <c r="Q8" i="4"/>
  <c r="Q12" i="4"/>
  <c r="Q16" i="4"/>
  <c r="Q20" i="4"/>
  <c r="Q24" i="4"/>
  <c r="Q28" i="4"/>
  <c r="Q32" i="4"/>
  <c r="Q36" i="4"/>
  <c r="Q40" i="4"/>
  <c r="Q44" i="4"/>
  <c r="Q48" i="4"/>
  <c r="Q52" i="4"/>
  <c r="Q56" i="4"/>
  <c r="Q60" i="4"/>
  <c r="Q64" i="4"/>
  <c r="Q68" i="4"/>
  <c r="Q72" i="4"/>
  <c r="Q76" i="4"/>
  <c r="Q80" i="4"/>
  <c r="Q84" i="4"/>
  <c r="Q88" i="4"/>
  <c r="Q92" i="4"/>
  <c r="Q96" i="4"/>
  <c r="Q5" i="4"/>
  <c r="Q9" i="4"/>
  <c r="Q13" i="4"/>
  <c r="Q17" i="4"/>
  <c r="Q21" i="4"/>
  <c r="Q25" i="4"/>
  <c r="Q29" i="4"/>
  <c r="Q33" i="4"/>
  <c r="Q37" i="4"/>
  <c r="Q41" i="4"/>
  <c r="Q45" i="4"/>
  <c r="Q49" i="4"/>
  <c r="Q53" i="4"/>
  <c r="Q57" i="4"/>
  <c r="Q61" i="4"/>
  <c r="Q65" i="4"/>
  <c r="Q69" i="4"/>
  <c r="Q73" i="4"/>
  <c r="Q77" i="4"/>
  <c r="Q81" i="4"/>
  <c r="Q85" i="4"/>
  <c r="Q89" i="4"/>
  <c r="Q93" i="4"/>
  <c r="Q97" i="4"/>
  <c r="R54" i="4"/>
  <c r="R58" i="4"/>
  <c r="R62" i="4"/>
  <c r="R6" i="4"/>
  <c r="R10" i="4"/>
  <c r="R14" i="4"/>
  <c r="R18" i="4"/>
  <c r="R22" i="4"/>
  <c r="R26" i="4"/>
  <c r="R30" i="4"/>
  <c r="R34" i="4"/>
  <c r="R38" i="4"/>
  <c r="R42" i="4"/>
  <c r="R46" i="4"/>
  <c r="R50" i="4"/>
  <c r="R55" i="4"/>
  <c r="R59" i="4"/>
  <c r="R63" i="4"/>
  <c r="R3" i="4"/>
  <c r="R7" i="4"/>
  <c r="R11" i="4"/>
  <c r="R15" i="4"/>
  <c r="R19" i="4"/>
  <c r="R23" i="4"/>
  <c r="R27" i="4"/>
  <c r="R31" i="4"/>
  <c r="R35" i="4"/>
  <c r="R39" i="4"/>
  <c r="R43" i="4"/>
  <c r="R47" i="4"/>
  <c r="R51" i="4"/>
  <c r="R52" i="4"/>
  <c r="R56" i="4"/>
  <c r="R60" i="4"/>
  <c r="R64" i="4"/>
  <c r="R4" i="4"/>
  <c r="R8" i="4"/>
  <c r="R12" i="4"/>
  <c r="R16" i="4"/>
  <c r="R20" i="4"/>
  <c r="R24" i="4"/>
  <c r="R28" i="4"/>
  <c r="R32" i="4"/>
  <c r="R36" i="4"/>
  <c r="R40" i="4"/>
  <c r="R44" i="4"/>
  <c r="R48" i="4"/>
  <c r="R61" i="4"/>
  <c r="R5" i="4"/>
  <c r="R9" i="4"/>
  <c r="R13" i="4"/>
  <c r="R17" i="4"/>
  <c r="R21" i="4"/>
  <c r="R25" i="4"/>
  <c r="R29" i="4"/>
  <c r="R33" i="4"/>
  <c r="R37" i="4"/>
  <c r="R41" i="4"/>
  <c r="R45" i="4"/>
  <c r="R49" i="4"/>
  <c r="R53" i="4"/>
  <c r="R57" i="4"/>
  <c r="R69" i="4"/>
  <c r="R77" i="4"/>
  <c r="R85" i="4"/>
  <c r="R93" i="4"/>
  <c r="R68" i="4"/>
  <c r="R76" i="4"/>
  <c r="R84" i="4"/>
  <c r="R92" i="4"/>
  <c r="R98" i="4"/>
  <c r="R97" i="4"/>
  <c r="R96" i="4"/>
  <c r="R95" i="4"/>
  <c r="R94" i="4"/>
  <c r="R67" i="4"/>
  <c r="R75" i="4"/>
  <c r="R83" i="4"/>
  <c r="R91" i="4"/>
  <c r="R74" i="4"/>
  <c r="R82" i="4"/>
  <c r="R90" i="4"/>
  <c r="R66" i="4"/>
  <c r="R73" i="4"/>
  <c r="R81" i="4"/>
  <c r="R89" i="4"/>
  <c r="R65" i="4"/>
  <c r="R72" i="4"/>
  <c r="R80" i="4"/>
  <c r="R88" i="4"/>
  <c r="R71" i="4"/>
  <c r="R79" i="4"/>
  <c r="R87" i="4"/>
  <c r="R70" i="4"/>
  <c r="R78" i="4"/>
  <c r="R86" i="4"/>
  <c r="T4" i="5"/>
  <c r="T6" i="5"/>
  <c r="T8" i="5"/>
  <c r="T10" i="5"/>
  <c r="T12" i="5"/>
  <c r="T14" i="5"/>
  <c r="T16" i="5"/>
  <c r="T18" i="5"/>
  <c r="T20" i="5"/>
  <c r="T22" i="5"/>
  <c r="T24" i="5"/>
  <c r="T26" i="5"/>
  <c r="T28" i="5"/>
  <c r="T30" i="5"/>
  <c r="T32" i="5"/>
  <c r="T34" i="5"/>
  <c r="T36" i="5"/>
  <c r="T38" i="5"/>
  <c r="T40" i="5"/>
  <c r="T42" i="5"/>
  <c r="T44" i="5"/>
  <c r="T46" i="5"/>
  <c r="T48" i="5"/>
  <c r="T50" i="5"/>
  <c r="T52" i="5"/>
  <c r="T54" i="5"/>
  <c r="T56" i="5"/>
  <c r="T58" i="5"/>
  <c r="T60" i="5"/>
  <c r="T3" i="5"/>
  <c r="T5" i="5"/>
  <c r="T7" i="5"/>
  <c r="T9" i="5"/>
  <c r="T11" i="5"/>
  <c r="T13" i="5"/>
  <c r="T15" i="5"/>
  <c r="T17" i="5"/>
  <c r="T19" i="5"/>
  <c r="T21" i="5"/>
  <c r="T23" i="5"/>
  <c r="T25" i="5"/>
  <c r="T27" i="5"/>
  <c r="T29" i="5"/>
  <c r="T31" i="5"/>
  <c r="T33" i="5"/>
  <c r="T35" i="5"/>
  <c r="T37" i="5"/>
  <c r="T39" i="5"/>
  <c r="T41" i="5"/>
  <c r="T43" i="5"/>
  <c r="T45" i="5"/>
  <c r="T47" i="5"/>
  <c r="T49" i="5"/>
  <c r="T51" i="5"/>
  <c r="T53" i="5"/>
  <c r="T55" i="5"/>
  <c r="T57" i="5"/>
  <c r="T59" i="5"/>
  <c r="T61" i="5"/>
  <c r="T64" i="5"/>
  <c r="T67" i="5"/>
  <c r="T72" i="5"/>
  <c r="T74" i="5"/>
  <c r="T76" i="5"/>
  <c r="T78" i="5"/>
  <c r="T80" i="5"/>
  <c r="T82" i="5"/>
  <c r="T84" i="5"/>
  <c r="T86" i="5"/>
  <c r="T88" i="5"/>
  <c r="T90" i="5"/>
  <c r="T92" i="5"/>
  <c r="T94" i="5"/>
  <c r="T62" i="5"/>
  <c r="T65" i="5"/>
  <c r="T70" i="5"/>
  <c r="T63" i="5"/>
  <c r="T68" i="5"/>
  <c r="T2" i="5"/>
  <c r="T71" i="5"/>
  <c r="T73" i="5"/>
  <c r="T75" i="5"/>
  <c r="T77" i="5"/>
  <c r="T79" i="5"/>
  <c r="T81" i="5"/>
  <c r="T83" i="5"/>
  <c r="T85" i="5"/>
  <c r="T87" i="5"/>
  <c r="T89" i="5"/>
  <c r="T91" i="5"/>
  <c r="T93" i="5"/>
  <c r="T95" i="5"/>
  <c r="T66" i="5"/>
  <c r="T69" i="5"/>
  <c r="S4" i="5"/>
  <c r="S6" i="5"/>
  <c r="S8" i="5"/>
  <c r="S10" i="5"/>
  <c r="S12" i="5"/>
  <c r="S14" i="5"/>
  <c r="S16" i="5"/>
  <c r="S18" i="5"/>
  <c r="S20" i="5"/>
  <c r="S22" i="5"/>
  <c r="S24" i="5"/>
  <c r="S26" i="5"/>
  <c r="S28" i="5"/>
  <c r="S30" i="5"/>
  <c r="S32" i="5"/>
  <c r="S34" i="5"/>
  <c r="S36" i="5"/>
  <c r="S38" i="5"/>
  <c r="S40" i="5"/>
  <c r="S42" i="5"/>
  <c r="S44" i="5"/>
  <c r="S46" i="5"/>
  <c r="S48" i="5"/>
  <c r="S50" i="5"/>
  <c r="S52" i="5"/>
  <c r="S54" i="5"/>
  <c r="S56" i="5"/>
  <c r="S3" i="5"/>
  <c r="S5" i="5"/>
  <c r="S7" i="5"/>
  <c r="S9" i="5"/>
  <c r="S11" i="5"/>
  <c r="S13" i="5"/>
  <c r="S15" i="5"/>
  <c r="S17" i="5"/>
  <c r="S19" i="5"/>
  <c r="S21" i="5"/>
  <c r="S23" i="5"/>
  <c r="S25" i="5"/>
  <c r="S27" i="5"/>
  <c r="S29" i="5"/>
  <c r="S31" i="5"/>
  <c r="S33" i="5"/>
  <c r="S35" i="5"/>
  <c r="S37" i="5"/>
  <c r="S39" i="5"/>
  <c r="S41" i="5"/>
  <c r="S43" i="5"/>
  <c r="S45" i="5"/>
  <c r="S47" i="5"/>
  <c r="S49" i="5"/>
  <c r="S51" i="5"/>
  <c r="S53" i="5"/>
  <c r="S55" i="5"/>
  <c r="S57" i="5"/>
  <c r="S59" i="5"/>
  <c r="S60" i="5"/>
  <c r="S64" i="5"/>
  <c r="S67" i="5"/>
  <c r="S90" i="5"/>
  <c r="S92" i="5"/>
  <c r="S72" i="5"/>
  <c r="S74" i="5"/>
  <c r="S76" i="5"/>
  <c r="S78" i="5"/>
  <c r="S80" i="5"/>
  <c r="S82" i="5"/>
  <c r="S84" i="5"/>
  <c r="S86" i="5"/>
  <c r="S88" i="5"/>
  <c r="S94" i="5"/>
  <c r="S58" i="5"/>
  <c r="S62" i="5"/>
  <c r="S65" i="5"/>
  <c r="S70" i="5"/>
  <c r="S63" i="5"/>
  <c r="S68" i="5"/>
  <c r="S71" i="5"/>
  <c r="S73" i="5"/>
  <c r="S75" i="5"/>
  <c r="S77" i="5"/>
  <c r="S79" i="5"/>
  <c r="S81" i="5"/>
  <c r="S83" i="5"/>
  <c r="S85" i="5"/>
  <c r="S87" i="5"/>
  <c r="S89" i="5"/>
  <c r="S91" i="5"/>
  <c r="S93" i="5"/>
  <c r="S95" i="5"/>
  <c r="S66" i="5"/>
  <c r="S69" i="5"/>
  <c r="S2" i="5"/>
  <c r="S61" i="5"/>
  <c r="Q2" i="4"/>
  <c r="R2" i="4"/>
  <c r="J93" i="3"/>
  <c r="R70" i="2"/>
  <c r="Q70" i="2"/>
  <c r="AO93" i="3"/>
  <c r="AS2" i="3"/>
  <c r="AR2" i="3"/>
  <c r="AU2" i="3"/>
  <c r="AN93" i="3"/>
  <c r="AT2" i="3"/>
  <c r="M93" i="3"/>
  <c r="AQ93" i="3"/>
  <c r="AW2" i="3"/>
  <c r="AP93" i="3"/>
  <c r="AV2" i="3"/>
  <c r="T102" i="5" l="1"/>
  <c r="T101" i="5"/>
  <c r="T103" i="5"/>
  <c r="S103" i="5"/>
  <c r="S102" i="5"/>
  <c r="S101" i="5"/>
  <c r="Q100" i="4"/>
  <c r="Q103" i="4"/>
  <c r="Q102" i="4"/>
  <c r="Q101" i="4"/>
  <c r="R101" i="4"/>
  <c r="R100" i="4"/>
  <c r="R103" i="4"/>
  <c r="R102" i="4"/>
  <c r="Q100" i="2"/>
  <c r="Q103" i="2"/>
  <c r="R100" i="2"/>
  <c r="R103" i="2"/>
  <c r="Q102" i="2"/>
  <c r="R102" i="2"/>
  <c r="Q101" i="2"/>
  <c r="R101" i="2"/>
  <c r="AR93" i="3"/>
  <c r="S96" i="5"/>
  <c r="AE10" i="5" s="1"/>
  <c r="T96" i="5"/>
  <c r="AE11" i="5" s="1"/>
  <c r="Q99" i="4"/>
  <c r="AC10" i="4" s="1"/>
  <c r="R99" i="4"/>
  <c r="AC11" i="4" s="1"/>
  <c r="AU93" i="3"/>
  <c r="BG5" i="3"/>
  <c r="AT93" i="3"/>
  <c r="BG4" i="3"/>
  <c r="AW93" i="3"/>
  <c r="BH5" i="3"/>
  <c r="AV93" i="3"/>
  <c r="BH4" i="3"/>
  <c r="AS93" i="3"/>
  <c r="R98" i="2"/>
  <c r="AD11" i="2" s="1"/>
  <c r="Q98" i="2"/>
  <c r="AD10" i="2" s="1"/>
  <c r="S100" i="5" l="1"/>
  <c r="T100" i="5"/>
  <c r="AG9" i="3"/>
  <c r="AG17" i="3"/>
  <c r="AG25" i="3"/>
  <c r="AG4" i="3"/>
  <c r="AG12" i="3"/>
  <c r="AG20" i="3"/>
  <c r="AG28" i="3"/>
  <c r="AG7" i="3"/>
  <c r="AG15" i="3"/>
  <c r="AG23" i="3"/>
  <c r="AG10" i="3"/>
  <c r="AG18" i="3"/>
  <c r="AG26" i="3"/>
  <c r="AG5" i="3"/>
  <c r="AG13" i="3"/>
  <c r="AG21" i="3"/>
  <c r="AG29" i="3"/>
  <c r="AG8" i="3"/>
  <c r="AG16" i="3"/>
  <c r="AG24" i="3"/>
  <c r="AG3" i="3"/>
  <c r="AG6" i="3"/>
  <c r="AG14" i="3"/>
  <c r="AG22" i="3"/>
  <c r="AG38" i="3"/>
  <c r="AG46" i="3"/>
  <c r="AG33" i="3"/>
  <c r="AG41" i="3"/>
  <c r="AG49" i="3"/>
  <c r="AG36" i="3"/>
  <c r="AG44" i="3"/>
  <c r="AG11" i="3"/>
  <c r="AG31" i="3"/>
  <c r="AG39" i="3"/>
  <c r="AG47" i="3"/>
  <c r="AG19" i="3"/>
  <c r="AG30" i="3"/>
  <c r="AG34" i="3"/>
  <c r="AG42" i="3"/>
  <c r="AG27" i="3"/>
  <c r="AG37" i="3"/>
  <c r="AG45" i="3"/>
  <c r="AG32" i="3"/>
  <c r="AG40" i="3"/>
  <c r="AG48" i="3"/>
  <c r="AG35" i="3"/>
  <c r="AG59" i="3"/>
  <c r="AG67" i="3"/>
  <c r="AG54" i="3"/>
  <c r="AG62" i="3"/>
  <c r="AG70" i="3"/>
  <c r="AG57" i="3"/>
  <c r="AG65" i="3"/>
  <c r="AG73" i="3"/>
  <c r="AG52" i="3"/>
  <c r="AG60" i="3"/>
  <c r="AG68" i="3"/>
  <c r="AG51" i="3"/>
  <c r="AG55" i="3"/>
  <c r="AG63" i="3"/>
  <c r="AG71" i="3"/>
  <c r="AG58" i="3"/>
  <c r="AG66" i="3"/>
  <c r="AG50" i="3"/>
  <c r="AG53" i="3"/>
  <c r="AG61" i="3"/>
  <c r="AG69" i="3"/>
  <c r="AG74" i="3"/>
  <c r="AG80" i="3"/>
  <c r="AG88" i="3"/>
  <c r="AG56" i="3"/>
  <c r="AG75" i="3"/>
  <c r="AG83" i="3"/>
  <c r="AG91" i="3"/>
  <c r="AG77" i="3"/>
  <c r="AG78" i="3"/>
  <c r="AG86" i="3"/>
  <c r="AG81" i="3"/>
  <c r="AG89" i="3"/>
  <c r="AG85" i="3"/>
  <c r="AG72" i="3"/>
  <c r="AG76" i="3"/>
  <c r="AG84" i="3"/>
  <c r="AG92" i="3"/>
  <c r="AG79" i="3"/>
  <c r="AG87" i="3"/>
  <c r="AG43" i="3"/>
  <c r="AG64" i="3"/>
  <c r="AG82" i="3"/>
  <c r="AG90" i="3"/>
  <c r="AG2" i="3"/>
  <c r="AM7" i="3"/>
  <c r="AM15" i="3"/>
  <c r="AM23" i="3"/>
  <c r="AM10" i="3"/>
  <c r="AM18" i="3"/>
  <c r="AM26" i="3"/>
  <c r="AM5" i="3"/>
  <c r="AM13" i="3"/>
  <c r="AM21" i="3"/>
  <c r="AM8" i="3"/>
  <c r="AM16" i="3"/>
  <c r="AM24" i="3"/>
  <c r="AM3" i="3"/>
  <c r="AM11" i="3"/>
  <c r="AM19" i="3"/>
  <c r="AM27" i="3"/>
  <c r="AM6" i="3"/>
  <c r="AM14" i="3"/>
  <c r="AM22" i="3"/>
  <c r="AM4" i="3"/>
  <c r="AM12" i="3"/>
  <c r="AM20" i="3"/>
  <c r="AM28" i="3"/>
  <c r="AM17" i="3"/>
  <c r="AM30" i="3"/>
  <c r="AM36" i="3"/>
  <c r="AM44" i="3"/>
  <c r="AM29" i="3"/>
  <c r="AM31" i="3"/>
  <c r="AM39" i="3"/>
  <c r="AM47" i="3"/>
  <c r="AM25" i="3"/>
  <c r="AM34" i="3"/>
  <c r="AM42" i="3"/>
  <c r="AM37" i="3"/>
  <c r="AM45" i="3"/>
  <c r="AM32" i="3"/>
  <c r="AM40" i="3"/>
  <c r="AM48" i="3"/>
  <c r="AM35" i="3"/>
  <c r="AM43" i="3"/>
  <c r="AM51" i="3"/>
  <c r="AM38" i="3"/>
  <c r="AM46" i="3"/>
  <c r="AM9" i="3"/>
  <c r="AM57" i="3"/>
  <c r="AM65" i="3"/>
  <c r="AM52" i="3"/>
  <c r="AM60" i="3"/>
  <c r="AM68" i="3"/>
  <c r="AM55" i="3"/>
  <c r="AM63" i="3"/>
  <c r="AM71" i="3"/>
  <c r="AM50" i="3"/>
  <c r="AM58" i="3"/>
  <c r="AM66" i="3"/>
  <c r="AM53" i="3"/>
  <c r="AM61" i="3"/>
  <c r="AM69" i="3"/>
  <c r="AM41" i="3"/>
  <c r="AM49" i="3"/>
  <c r="AM56" i="3"/>
  <c r="AM64" i="3"/>
  <c r="AM33" i="3"/>
  <c r="AM59" i="3"/>
  <c r="AM67" i="3"/>
  <c r="AM72" i="3"/>
  <c r="AM78" i="3"/>
  <c r="AM86" i="3"/>
  <c r="AM89" i="3"/>
  <c r="AM2" i="3"/>
  <c r="AM54" i="3"/>
  <c r="AM81" i="3"/>
  <c r="AM76" i="3"/>
  <c r="AM84" i="3"/>
  <c r="AM92" i="3"/>
  <c r="AM79" i="3"/>
  <c r="AM87" i="3"/>
  <c r="AM83" i="3"/>
  <c r="AM91" i="3"/>
  <c r="AM70" i="3"/>
  <c r="AM82" i="3"/>
  <c r="AM90" i="3"/>
  <c r="AM73" i="3"/>
  <c r="AM74" i="3"/>
  <c r="AM77" i="3"/>
  <c r="AM85" i="3"/>
  <c r="AM75" i="3"/>
  <c r="AM62" i="3"/>
  <c r="AM80" i="3"/>
  <c r="AM88" i="3"/>
  <c r="AH6" i="3"/>
  <c r="AH14" i="3"/>
  <c r="AH22" i="3"/>
  <c r="AH30" i="3"/>
  <c r="AH9" i="3"/>
  <c r="AH17" i="3"/>
  <c r="AH25" i="3"/>
  <c r="AH4" i="3"/>
  <c r="AH12" i="3"/>
  <c r="AH20" i="3"/>
  <c r="AH7" i="3"/>
  <c r="AH15" i="3"/>
  <c r="AH23" i="3"/>
  <c r="AH10" i="3"/>
  <c r="AH18" i="3"/>
  <c r="AH26" i="3"/>
  <c r="AH5" i="3"/>
  <c r="AH13" i="3"/>
  <c r="AH21" i="3"/>
  <c r="AH3" i="3"/>
  <c r="AH11" i="3"/>
  <c r="AH19" i="3"/>
  <c r="AH27" i="3"/>
  <c r="AH35" i="3"/>
  <c r="AH43" i="3"/>
  <c r="AH51" i="3"/>
  <c r="AH28" i="3"/>
  <c r="AH38" i="3"/>
  <c r="AH46" i="3"/>
  <c r="AH33" i="3"/>
  <c r="AH41" i="3"/>
  <c r="AH49" i="3"/>
  <c r="AH36" i="3"/>
  <c r="AH44" i="3"/>
  <c r="AH31" i="3"/>
  <c r="AH39" i="3"/>
  <c r="AH47" i="3"/>
  <c r="AH8" i="3"/>
  <c r="AH29" i="3"/>
  <c r="AH34" i="3"/>
  <c r="AH42" i="3"/>
  <c r="AH50" i="3"/>
  <c r="AH16" i="3"/>
  <c r="AH37" i="3"/>
  <c r="AH45" i="3"/>
  <c r="AH56" i="3"/>
  <c r="AH64" i="3"/>
  <c r="AH72" i="3"/>
  <c r="AH59" i="3"/>
  <c r="AH67" i="3"/>
  <c r="AH54" i="3"/>
  <c r="AH62" i="3"/>
  <c r="AH70" i="3"/>
  <c r="AH48" i="3"/>
  <c r="AH57" i="3"/>
  <c r="AH65" i="3"/>
  <c r="AH40" i="3"/>
  <c r="AH52" i="3"/>
  <c r="AH60" i="3"/>
  <c r="AH68" i="3"/>
  <c r="AH24" i="3"/>
  <c r="AH32" i="3"/>
  <c r="AH55" i="3"/>
  <c r="AH63" i="3"/>
  <c r="AH71" i="3"/>
  <c r="AH58" i="3"/>
  <c r="AH66" i="3"/>
  <c r="AH73" i="3"/>
  <c r="AH77" i="3"/>
  <c r="AH85" i="3"/>
  <c r="AH91" i="3"/>
  <c r="AH74" i="3"/>
  <c r="AH80" i="3"/>
  <c r="AH88" i="3"/>
  <c r="AH69" i="3"/>
  <c r="AH75" i="3"/>
  <c r="AH83" i="3"/>
  <c r="AH78" i="3"/>
  <c r="AH86" i="3"/>
  <c r="AH61" i="3"/>
  <c r="AH81" i="3"/>
  <c r="AH89" i="3"/>
  <c r="AH92" i="3"/>
  <c r="AH53" i="3"/>
  <c r="AH90" i="3"/>
  <c r="AH76" i="3"/>
  <c r="AH84" i="3"/>
  <c r="AH82" i="3"/>
  <c r="AH79" i="3"/>
  <c r="AH87" i="3"/>
  <c r="AH2" i="3"/>
  <c r="AL10" i="3"/>
  <c r="AL18" i="3"/>
  <c r="AL26" i="3"/>
  <c r="AL5" i="3"/>
  <c r="AL13" i="3"/>
  <c r="AL21" i="3"/>
  <c r="AL29" i="3"/>
  <c r="AL8" i="3"/>
  <c r="AL16" i="3"/>
  <c r="AL24" i="3"/>
  <c r="AL3" i="3"/>
  <c r="AL11" i="3"/>
  <c r="AL19" i="3"/>
  <c r="AL27" i="3"/>
  <c r="AL6" i="3"/>
  <c r="AL14" i="3"/>
  <c r="AL22" i="3"/>
  <c r="AL30" i="3"/>
  <c r="AL9" i="3"/>
  <c r="AL17" i="3"/>
  <c r="AL4" i="3"/>
  <c r="AL7" i="3"/>
  <c r="AL15" i="3"/>
  <c r="AL23" i="3"/>
  <c r="AL31" i="3"/>
  <c r="AL39" i="3"/>
  <c r="AL47" i="3"/>
  <c r="AL25" i="3"/>
  <c r="AL34" i="3"/>
  <c r="AL42" i="3"/>
  <c r="AL37" i="3"/>
  <c r="AL45" i="3"/>
  <c r="AL32" i="3"/>
  <c r="AL40" i="3"/>
  <c r="AL48" i="3"/>
  <c r="AL35" i="3"/>
  <c r="AL43" i="3"/>
  <c r="AL12" i="3"/>
  <c r="AL28" i="3"/>
  <c r="AL38" i="3"/>
  <c r="AL46" i="3"/>
  <c r="AL20" i="3"/>
  <c r="AL33" i="3"/>
  <c r="AL41" i="3"/>
  <c r="AL51" i="3"/>
  <c r="AL52" i="3"/>
  <c r="AL60" i="3"/>
  <c r="AL68" i="3"/>
  <c r="AL44" i="3"/>
  <c r="AL55" i="3"/>
  <c r="AL63" i="3"/>
  <c r="AL71" i="3"/>
  <c r="AL36" i="3"/>
  <c r="AL50" i="3"/>
  <c r="AL58" i="3"/>
  <c r="AL66" i="3"/>
  <c r="AL74" i="3"/>
  <c r="AL53" i="3"/>
  <c r="AL61" i="3"/>
  <c r="AL69" i="3"/>
  <c r="AL49" i="3"/>
  <c r="AL56" i="3"/>
  <c r="AL64" i="3"/>
  <c r="AL72" i="3"/>
  <c r="AL59" i="3"/>
  <c r="AL67" i="3"/>
  <c r="AL54" i="3"/>
  <c r="AL62" i="3"/>
  <c r="AL70" i="3"/>
  <c r="AL81" i="3"/>
  <c r="AL89" i="3"/>
  <c r="AL92" i="3"/>
  <c r="AL78" i="3"/>
  <c r="AL76" i="3"/>
  <c r="AL84" i="3"/>
  <c r="AL57" i="3"/>
  <c r="AL79" i="3"/>
  <c r="AL87" i="3"/>
  <c r="AL2" i="3"/>
  <c r="AL82" i="3"/>
  <c r="AL90" i="3"/>
  <c r="AL73" i="3"/>
  <c r="AL77" i="3"/>
  <c r="AL85" i="3"/>
  <c r="AL80" i="3"/>
  <c r="AL88" i="3"/>
  <c r="AL65" i="3"/>
  <c r="AL75" i="3"/>
  <c r="AL83" i="3"/>
  <c r="AL91" i="3"/>
  <c r="AL86" i="3"/>
  <c r="AL100" i="3" l="1"/>
  <c r="AL102" i="3"/>
  <c r="AM101" i="3"/>
  <c r="AM103" i="3"/>
  <c r="AL103" i="3"/>
  <c r="AH103" i="3"/>
  <c r="AG101" i="3"/>
  <c r="AL101" i="3"/>
  <c r="AG103" i="3"/>
  <c r="AG100" i="3"/>
  <c r="AG102" i="3"/>
  <c r="AH101" i="3"/>
  <c r="AM100" i="3"/>
  <c r="AM102" i="3"/>
  <c r="AH100" i="3"/>
  <c r="AH102" i="3"/>
  <c r="AL93" i="3"/>
  <c r="BH13" i="3" s="1"/>
  <c r="AG93" i="3"/>
  <c r="BG13" i="3" s="1"/>
  <c r="AM93" i="3"/>
  <c r="BH14" i="3" s="1"/>
  <c r="AH93" i="3"/>
  <c r="BG14" i="3" s="1"/>
  <c r="E7" i="1" l="1"/>
  <c r="I5" i="1" l="1"/>
  <c r="M3" i="1"/>
  <c r="I6" i="1"/>
  <c r="I7" i="1" l="1"/>
  <c r="M5" i="1"/>
  <c r="M7" i="1" s="1"/>
  <c r="Q3" i="1"/>
  <c r="Q6" i="1" l="1"/>
  <c r="Q5" i="1"/>
  <c r="U3" i="1"/>
  <c r="Q7" i="1" l="1"/>
  <c r="U6" i="1"/>
  <c r="U5" i="1"/>
  <c r="U7" i="1" l="1"/>
</calcChain>
</file>

<file path=xl/sharedStrings.xml><?xml version="1.0" encoding="utf-8"?>
<sst xmlns="http://schemas.openxmlformats.org/spreadsheetml/2006/main" count="3842" uniqueCount="235">
  <si>
    <t>CNA</t>
  </si>
  <si>
    <t>Cook</t>
  </si>
  <si>
    <t>Dietary Aide</t>
  </si>
  <si>
    <t>Hkpg</t>
  </si>
  <si>
    <t>Act Aide</t>
  </si>
  <si>
    <t>Possible Wage</t>
  </si>
  <si>
    <t>Rule 50 Group</t>
  </si>
  <si>
    <t>All, 1, 2,3</t>
  </si>
  <si>
    <t>ALL</t>
  </si>
  <si>
    <t>Median</t>
  </si>
  <si>
    <t># would Benefit</t>
  </si>
  <si>
    <t>Total from sample</t>
  </si>
  <si>
    <t>Percentage</t>
  </si>
  <si>
    <t>Random ID</t>
  </si>
  <si>
    <t>Rule 50 group</t>
  </si>
  <si>
    <t>Economic Development Region</t>
  </si>
  <si>
    <t>Rate Quartile</t>
  </si>
  <si>
    <t>C.N.A. avg hrly wage</t>
  </si>
  <si>
    <t>C.N.A. median hrly wage</t>
  </si>
  <si>
    <t>% of staff that are below the C.N.A. median</t>
  </si>
  <si>
    <t>CNA comp hours per resident day</t>
  </si>
  <si>
    <t>Cook avg hrly wage</t>
  </si>
  <si>
    <t>Cook median hrly wage</t>
  </si>
  <si>
    <t>% of staff that are below the Cook median</t>
  </si>
  <si>
    <t>Cook comp hours per resident day</t>
  </si>
  <si>
    <t>Dietary Aide avg hrly wage</t>
  </si>
  <si>
    <t>Dietary Aide median hrly wage</t>
  </si>
  <si>
    <t>% of staff that are below the Dietary Aide median</t>
  </si>
  <si>
    <t>Dietary Aide comp hours per resident day</t>
  </si>
  <si>
    <t>Hskeeper avg hrly wage</t>
  </si>
  <si>
    <t>Hskeeper median hrly wage</t>
  </si>
  <si>
    <t>% of staff that are below the hkeeper median</t>
  </si>
  <si>
    <t>Hskeeping comp hours per resident day</t>
  </si>
  <si>
    <t>Activity avg hrly wage</t>
  </si>
  <si>
    <t>Activity median hrly wage</t>
  </si>
  <si>
    <t>% of staff that are below the activity median</t>
  </si>
  <si>
    <t>Activities comp hours per resident day</t>
  </si>
  <si>
    <t>EDR 11</t>
  </si>
  <si>
    <t>2nd</t>
  </si>
  <si>
    <t>EDR 04</t>
  </si>
  <si>
    <t>3rd</t>
  </si>
  <si>
    <t>EDR 06W</t>
  </si>
  <si>
    <t>EDR 01</t>
  </si>
  <si>
    <t>4th</t>
  </si>
  <si>
    <t>EDR 08</t>
  </si>
  <si>
    <t>1st</t>
  </si>
  <si>
    <t>EDR 05</t>
  </si>
  <si>
    <t>EDR 03</t>
  </si>
  <si>
    <t>EDR 02</t>
  </si>
  <si>
    <t>EDR10</t>
  </si>
  <si>
    <t>EDR 06E</t>
  </si>
  <si>
    <t>EDR 09</t>
  </si>
  <si>
    <t>EDR 07W</t>
  </si>
  <si>
    <t>EDR 07E</t>
  </si>
  <si>
    <t>Sample</t>
  </si>
  <si>
    <t>Ftempcna</t>
  </si>
  <si>
    <t>Ptempcna</t>
  </si>
  <si>
    <t>Total employees per CR</t>
  </si>
  <si>
    <t>Cna Cph</t>
  </si>
  <si>
    <t>Cna Hrsn</t>
  </si>
  <si>
    <t>Cost</t>
  </si>
  <si>
    <t>CNA count Per Data Sample</t>
  </si>
  <si>
    <t>CNA min.</t>
  </si>
  <si>
    <t>CNA max</t>
  </si>
  <si>
    <t>CNA median</t>
  </si>
  <si>
    <t>CNA average</t>
  </si>
  <si>
    <t>Below median</t>
  </si>
  <si>
    <t>Below Average</t>
  </si>
  <si>
    <t>Below Floor</t>
  </si>
  <si>
    <t>Below weighted average median wage</t>
  </si>
  <si>
    <t>Below weighted average, average wage</t>
  </si>
  <si>
    <t xml:space="preserve">Est median wage cost </t>
  </si>
  <si>
    <t>Est average wage cost</t>
  </si>
  <si>
    <t>Percentage of cost of Est median wage cost to reported costs</t>
  </si>
  <si>
    <t>Percentage of cost of Est average wage cost to reported costs</t>
  </si>
  <si>
    <t>Percentage of Min wage to median wage</t>
  </si>
  <si>
    <t xml:space="preserve">Percentage of Max wage to median wage </t>
  </si>
  <si>
    <t>GeoGroup</t>
  </si>
  <si>
    <t>Floor</t>
  </si>
  <si>
    <t>Estimated median without OT</t>
  </si>
  <si>
    <t>(Estimated weighted average of sample median wage)</t>
  </si>
  <si>
    <t>Estimated average without OT</t>
  </si>
  <si>
    <t>(Estimated weighted average of sample average wage)</t>
  </si>
  <si>
    <t>Percentage below median</t>
  </si>
  <si>
    <t>Percentage Below Average</t>
  </si>
  <si>
    <t>Percentage Below Floor</t>
  </si>
  <si>
    <t>Percentage below Weighted median</t>
  </si>
  <si>
    <t>Percentage Below Weighted Average</t>
  </si>
  <si>
    <t>All</t>
  </si>
  <si>
    <t>CNA wage per hour</t>
  </si>
  <si>
    <t>Ftempdietary</t>
  </si>
  <si>
    <t>Ptempdietary</t>
  </si>
  <si>
    <t>Total employees</t>
  </si>
  <si>
    <t>Diet Cph</t>
  </si>
  <si>
    <t>Aide cost estimator</t>
  </si>
  <si>
    <t>Aide Hours</t>
  </si>
  <si>
    <t>Est Aide wage</t>
  </si>
  <si>
    <t>Cook cost estimator</t>
  </si>
  <si>
    <t>Cook Hours</t>
  </si>
  <si>
    <t>Est Cook Wage</t>
  </si>
  <si>
    <t>Cost Estimator</t>
  </si>
  <si>
    <t>Diet Hrsn</t>
  </si>
  <si>
    <t>Est CPH using estimator</t>
  </si>
  <si>
    <t>Employee count Sample Data Aide</t>
  </si>
  <si>
    <t>Employee count Sample Data Cook</t>
  </si>
  <si>
    <t>Total aide &amp; Cook</t>
  </si>
  <si>
    <t>Aide min</t>
  </si>
  <si>
    <t>Aide max</t>
  </si>
  <si>
    <t>Aide median</t>
  </si>
  <si>
    <t>Aide average</t>
  </si>
  <si>
    <t>Cook min</t>
  </si>
  <si>
    <t>Cook max</t>
  </si>
  <si>
    <t>Cook median</t>
  </si>
  <si>
    <t>Cook average</t>
  </si>
  <si>
    <t>Wage difference Median</t>
  </si>
  <si>
    <t>Wage difference Average</t>
  </si>
  <si>
    <t>Below median Aide</t>
  </si>
  <si>
    <t>Below Average Aide</t>
  </si>
  <si>
    <t>Below Floor Aide</t>
  </si>
  <si>
    <t>Below weighted average median wage Aide</t>
  </si>
  <si>
    <t>Below weighted average, average wage Aide</t>
  </si>
  <si>
    <t>Below median Cook</t>
  </si>
  <si>
    <t>Below Average Cook</t>
  </si>
  <si>
    <t>Below Floor Cook</t>
  </si>
  <si>
    <t>Below weighted average median wage Cook</t>
  </si>
  <si>
    <t>Below weighted average, average wage Cook</t>
  </si>
  <si>
    <t xml:space="preserve">Est median Aide wage cost </t>
  </si>
  <si>
    <t>Est average Aide wage cost</t>
  </si>
  <si>
    <t>Est median Cook wage cost</t>
  </si>
  <si>
    <t>Est average Cook wage cost</t>
  </si>
  <si>
    <t>Est Median wage cost</t>
  </si>
  <si>
    <t>Percentage of cost of Est Aide median wage cost to reported costs</t>
  </si>
  <si>
    <t>Percentage of cost of Est Aide average wage cost to reported costs</t>
  </si>
  <si>
    <t>Percentage of cost of Est Cook median wage cost to reported costs</t>
  </si>
  <si>
    <t>Percentage of cost of Est Cook  average wage cost to reported costs</t>
  </si>
  <si>
    <t>Percentage of Min Aide wage to median wage</t>
  </si>
  <si>
    <t xml:space="preserve">Percentage of Max Aide wage to median wage </t>
  </si>
  <si>
    <t>Percentage of Min Cook wage to median wage</t>
  </si>
  <si>
    <t xml:space="preserve">Percentage of Max Cook wage to median wage </t>
  </si>
  <si>
    <t>Aide</t>
  </si>
  <si>
    <t>Percentage of aide to Cooke counts and hours</t>
  </si>
  <si>
    <t>Percentage of Aide to Cooke Median costs</t>
  </si>
  <si>
    <t>Wage</t>
  </si>
  <si>
    <t>Cooks wages</t>
  </si>
  <si>
    <t>Aide wages</t>
  </si>
  <si>
    <t>Aide/Cook</t>
  </si>
  <si>
    <t>Ftempactivities</t>
  </si>
  <si>
    <t>Ptempactivities</t>
  </si>
  <si>
    <t>Act Cph</t>
  </si>
  <si>
    <t>Act Hrsn</t>
  </si>
  <si>
    <t>Act Aide count Per Data Sample</t>
  </si>
  <si>
    <t>Act Aide min</t>
  </si>
  <si>
    <t>Act Aide max</t>
  </si>
  <si>
    <t>Act Aide median</t>
  </si>
  <si>
    <t>Act Aide average</t>
  </si>
  <si>
    <t>Act wage per hour</t>
  </si>
  <si>
    <t>Ftemphskpg</t>
  </si>
  <si>
    <t>Ptemphskpg</t>
  </si>
  <si>
    <t>Hkpg Cph</t>
  </si>
  <si>
    <t>Hkpg Hrsn</t>
  </si>
  <si>
    <t>Costs Rate Estimator</t>
  </si>
  <si>
    <t>Estimator cPH</t>
  </si>
  <si>
    <t>Hkpg count Per Data Sample</t>
  </si>
  <si>
    <t>Hkpg min</t>
  </si>
  <si>
    <t>Hkpg max</t>
  </si>
  <si>
    <t>Hkpg median</t>
  </si>
  <si>
    <t>Hkpg average</t>
  </si>
  <si>
    <t>Applied filters: KYEAR equal to 2022</t>
  </si>
  <si>
    <t>KYEAR</t>
  </si>
  <si>
    <t>Ga Hrsn</t>
  </si>
  <si>
    <t>Ldry Hrsn</t>
  </si>
  <si>
    <t>Lpn Hrsn</t>
  </si>
  <si>
    <t>Ina Hrsn</t>
  </si>
  <si>
    <t>Mhw Hrsn</t>
  </si>
  <si>
    <t>Mr Hrsn</t>
  </si>
  <si>
    <t>Na Hrsn</t>
  </si>
  <si>
    <t>Odc Hrsn</t>
  </si>
  <si>
    <t>Plant Hrsn</t>
  </si>
  <si>
    <t>Rn Hrsn</t>
  </si>
  <si>
    <t>Sw Hrsn</t>
  </si>
  <si>
    <t>Tma Hrsn</t>
  </si>
  <si>
    <t>Tot Hrsn</t>
  </si>
  <si>
    <t>Tot Otherop Hrsn</t>
  </si>
  <si>
    <t>Cnap Cph</t>
  </si>
  <si>
    <t>Ga Cph</t>
  </si>
  <si>
    <t>Ldry Cph</t>
  </si>
  <si>
    <t>Lpn Cph</t>
  </si>
  <si>
    <t>Lpnp Cph</t>
  </si>
  <si>
    <t>Mhw Cph</t>
  </si>
  <si>
    <t>Mr Cph</t>
  </si>
  <si>
    <t>Na Cph</t>
  </si>
  <si>
    <t>Odc Cph</t>
  </si>
  <si>
    <t>Plant Cph</t>
  </si>
  <si>
    <t>Rn Cph</t>
  </si>
  <si>
    <t>Rnp Cph</t>
  </si>
  <si>
    <t>Sw Cph</t>
  </si>
  <si>
    <t>Tma Cph</t>
  </si>
  <si>
    <t>Tmap Cph</t>
  </si>
  <si>
    <t>Ftempadmin</t>
  </si>
  <si>
    <t>Ftemplaundry</t>
  </si>
  <si>
    <t>Ftemplpn</t>
  </si>
  <si>
    <t>Ftempmaint</t>
  </si>
  <si>
    <t>Ftempmhw</t>
  </si>
  <si>
    <t>Ftempmr</t>
  </si>
  <si>
    <t>Ftempnsgadmin</t>
  </si>
  <si>
    <t>Ftempotherdircare</t>
  </si>
  <si>
    <t>Ftemprn</t>
  </si>
  <si>
    <t>Ftempsw</t>
  </si>
  <si>
    <t>Ftemptma</t>
  </si>
  <si>
    <t>Ftemptotal</t>
  </si>
  <si>
    <t>Ptempadmin</t>
  </si>
  <si>
    <t>Ptemplaundry</t>
  </si>
  <si>
    <t>Ptemplpn</t>
  </si>
  <si>
    <t>Ptempmaint</t>
  </si>
  <si>
    <t>Ptempmhw</t>
  </si>
  <si>
    <t>Ptempmr</t>
  </si>
  <si>
    <t>Ptempnsgadmin</t>
  </si>
  <si>
    <t>Ptempotherdircare</t>
  </si>
  <si>
    <t>Ptemprn</t>
  </si>
  <si>
    <t>Ptempsw</t>
  </si>
  <si>
    <t>Ptemptma</t>
  </si>
  <si>
    <t>Ptemptotal</t>
  </si>
  <si>
    <t>G</t>
  </si>
  <si>
    <t>AK</t>
  </si>
  <si>
    <t>AX</t>
  </si>
  <si>
    <t>Dietary Salaries</t>
  </si>
  <si>
    <t>Changes in Vac/Sick</t>
  </si>
  <si>
    <t>Housekeeping Salaries</t>
  </si>
  <si>
    <t>All6114</t>
  </si>
  <si>
    <t>Dietary total</t>
  </si>
  <si>
    <t>ALL6317</t>
  </si>
  <si>
    <t>total</t>
  </si>
  <si>
    <t>ALL6517</t>
  </si>
  <si>
    <t>c6317</t>
  </si>
  <si>
    <t>c6517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</si>
</sst>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44" fontId="0" fillId="0" borderId="0" xfId="2" applyFont="1"/>
    <xf numFmtId="9" fontId="0" fillId="0" borderId="0" xfId="3" applyFont="1"/>
    <xf numFmtId="164" fontId="0" fillId="0" borderId="0" xfId="1" applyNumberFormat="1" applyFont="1"/>
    <xf numFmtId="43" fontId="0" fillId="0" borderId="0" xfId="1" applyFont="1"/>
    <xf numFmtId="0" fontId="3" fillId="0" borderId="0" xfId="0" applyFont="1" applyAlignment="1">
      <alignment wrapText="1"/>
    </xf>
    <xf numFmtId="44" fontId="3" fillId="0" borderId="0" xfId="2" applyFont="1" applyAlignment="1">
      <alignment wrapText="1"/>
    </xf>
    <xf numFmtId="164" fontId="3" fillId="0" borderId="0" xfId="1" applyNumberFormat="1" applyFont="1" applyAlignment="1">
      <alignment wrapText="1"/>
    </xf>
    <xf numFmtId="43" fontId="3" fillId="0" borderId="0" xfId="1" applyFont="1" applyAlignment="1">
      <alignment wrapText="1"/>
    </xf>
    <xf numFmtId="9" fontId="3" fillId="0" borderId="0" xfId="3" applyFont="1" applyAlignment="1">
      <alignment wrapText="1"/>
    </xf>
    <xf numFmtId="0" fontId="3" fillId="0" borderId="0" xfId="0" applyFont="1"/>
    <xf numFmtId="44" fontId="3" fillId="0" borderId="0" xfId="2" applyFont="1"/>
    <xf numFmtId="164" fontId="3" fillId="0" borderId="0" xfId="1" applyNumberFormat="1" applyFont="1"/>
    <xf numFmtId="43" fontId="3" fillId="0" borderId="0" xfId="1" applyFont="1"/>
    <xf numFmtId="9" fontId="3" fillId="0" borderId="0" xfId="3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164" fontId="3" fillId="0" borderId="0" xfId="0" applyNumberFormat="1" applyFont="1"/>
    <xf numFmtId="43" fontId="3" fillId="0" borderId="0" xfId="0" applyNumberFormat="1" applyFont="1"/>
    <xf numFmtId="10" fontId="3" fillId="0" borderId="0" xfId="0" applyNumberFormat="1" applyFont="1"/>
    <xf numFmtId="9" fontId="3" fillId="0" borderId="0" xfId="0" applyNumberFormat="1" applyFont="1"/>
    <xf numFmtId="0" fontId="3" fillId="0" borderId="0" xfId="0" applyFont="1" applyFill="1" applyAlignment="1">
      <alignment wrapText="1"/>
    </xf>
    <xf numFmtId="44" fontId="3" fillId="0" borderId="0" xfId="2" applyFont="1" applyFill="1" applyAlignment="1">
      <alignment wrapText="1"/>
    </xf>
    <xf numFmtId="164" fontId="3" fillId="0" borderId="0" xfId="1" applyNumberFormat="1" applyFont="1" applyFill="1" applyAlignment="1">
      <alignment wrapText="1"/>
    </xf>
    <xf numFmtId="43" fontId="3" fillId="0" borderId="0" xfId="1" applyFont="1" applyFill="1" applyAlignment="1">
      <alignment wrapText="1"/>
    </xf>
    <xf numFmtId="9" fontId="3" fillId="0" borderId="0" xfId="3" applyFont="1" applyFill="1" applyAlignment="1">
      <alignment wrapText="1"/>
    </xf>
    <xf numFmtId="0" fontId="3" fillId="0" borderId="0" xfId="0" applyFont="1" applyFill="1"/>
    <xf numFmtId="44" fontId="3" fillId="0" borderId="0" xfId="2" applyFont="1" applyFill="1"/>
    <xf numFmtId="164" fontId="3" fillId="0" borderId="0" xfId="1" applyNumberFormat="1" applyFont="1" applyFill="1"/>
    <xf numFmtId="43" fontId="3" fillId="0" borderId="0" xfId="1" applyFont="1" applyFill="1"/>
    <xf numFmtId="9" fontId="3" fillId="0" borderId="0" xfId="3" applyFont="1" applyFill="1"/>
    <xf numFmtId="0" fontId="3" fillId="0" borderId="0" xfId="0" applyFont="1" applyFill="1" applyAlignment="1">
      <alignment horizontal="right"/>
    </xf>
    <xf numFmtId="44" fontId="3" fillId="0" borderId="0" xfId="0" applyNumberFormat="1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10" fontId="3" fillId="0" borderId="0" xfId="0" applyNumberFormat="1" applyFont="1" applyFill="1"/>
    <xf numFmtId="9" fontId="3" fillId="0" borderId="0" xfId="0" applyNumberFormat="1" applyFont="1" applyFill="1"/>
    <xf numFmtId="0" fontId="3" fillId="0" borderId="0" xfId="1" applyNumberFormat="1" applyFont="1"/>
    <xf numFmtId="0" fontId="0" fillId="0" borderId="0" xfId="0" applyFill="1"/>
    <xf numFmtId="164" fontId="0" fillId="0" borderId="0" xfId="1" applyNumberFormat="1" applyFont="1" applyFill="1" applyAlignment="1">
      <alignment horizontal="right"/>
    </xf>
    <xf numFmtId="9" fontId="0" fillId="0" borderId="0" xfId="3" applyFont="1" applyFill="1"/>
    <xf numFmtId="43" fontId="0" fillId="0" borderId="0" xfId="1" applyFont="1" applyFill="1"/>
    <xf numFmtId="44" fontId="0" fillId="0" borderId="0" xfId="2" applyFont="1" applyFill="1"/>
    <xf numFmtId="164" fontId="0" fillId="2" borderId="0" xfId="1" applyNumberFormat="1" applyFont="1" applyFill="1" applyAlignment="1" applyProtection="1">
      <alignment horizontal="right"/>
      <protection locked="0"/>
    </xf>
    <xf numFmtId="0" fontId="0" fillId="0" borderId="5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44" fontId="0" fillId="0" borderId="4" xfId="2" applyFont="1" applyBorder="1" applyAlignment="1" applyProtection="1">
      <alignment wrapText="1"/>
    </xf>
    <xf numFmtId="9" fontId="0" fillId="0" borderId="4" xfId="3" applyFont="1" applyBorder="1" applyAlignment="1" applyProtection="1">
      <alignment wrapText="1"/>
    </xf>
    <xf numFmtId="43" fontId="0" fillId="0" borderId="4" xfId="1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2" xfId="0" applyBorder="1" applyProtection="1"/>
    <xf numFmtId="0" fontId="0" fillId="0" borderId="1" xfId="0" applyBorder="1" applyProtection="1"/>
    <xf numFmtId="44" fontId="0" fillId="0" borderId="1" xfId="2" applyFont="1" applyBorder="1" applyProtection="1"/>
    <xf numFmtId="44" fontId="0" fillId="0" borderId="1" xfId="0" applyNumberFormat="1" applyBorder="1" applyProtection="1"/>
    <xf numFmtId="9" fontId="0" fillId="0" borderId="1" xfId="3" applyFont="1" applyBorder="1" applyProtection="1"/>
    <xf numFmtId="43" fontId="0" fillId="0" borderId="1" xfId="1" applyFont="1" applyBorder="1" applyProtection="1"/>
    <xf numFmtId="9" fontId="0" fillId="0" borderId="1" xfId="0" applyNumberFormat="1" applyBorder="1" applyProtection="1"/>
    <xf numFmtId="0" fontId="0" fillId="0" borderId="0" xfId="0" applyProtection="1"/>
    <xf numFmtId="0" fontId="0" fillId="0" borderId="1" xfId="0" applyNumberFormat="1" applyBorder="1" applyProtection="1"/>
    <xf numFmtId="44" fontId="0" fillId="0" borderId="1" xfId="2" applyNumberFormat="1" applyFont="1" applyBorder="1" applyProtection="1"/>
    <xf numFmtId="9" fontId="0" fillId="0" borderId="1" xfId="3" applyNumberFormat="1" applyFont="1" applyBorder="1" applyProtection="1"/>
    <xf numFmtId="0" fontId="0" fillId="0" borderId="6" xfId="0" applyBorder="1" applyProtection="1"/>
    <xf numFmtId="0" fontId="0" fillId="0" borderId="3" xfId="0" applyBorder="1" applyProtection="1"/>
    <xf numFmtId="44" fontId="0" fillId="0" borderId="3" xfId="2" applyFont="1" applyBorder="1" applyProtection="1"/>
    <xf numFmtId="44" fontId="0" fillId="0" borderId="3" xfId="0" applyNumberFormat="1" applyBorder="1" applyProtection="1"/>
    <xf numFmtId="9" fontId="0" fillId="0" borderId="3" xfId="3" applyFont="1" applyBorder="1" applyProtection="1"/>
    <xf numFmtId="9" fontId="0" fillId="0" borderId="3" xfId="0" applyNumberFormat="1" applyBorder="1" applyProtection="1"/>
    <xf numFmtId="44" fontId="0" fillId="2" borderId="0" xfId="2" applyFont="1" applyFill="1" applyAlignment="1" applyProtection="1">
      <alignment horizontal="right"/>
      <protection locked="0"/>
    </xf>
    <xf numFmtId="0" fontId="3" fillId="3" borderId="0" xfId="0" applyFont="1" applyFill="1"/>
    <xf numFmtId="0" fontId="2" fillId="3" borderId="0" xfId="0" applyFont="1" applyFill="1" applyBorder="1" applyAlignment="1">
      <alignment horizontal="center"/>
    </xf>
    <xf numFmtId="44" fontId="2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44" fontId="3" fillId="3" borderId="0" xfId="0" applyNumberFormat="1" applyFont="1" applyFill="1" applyBorder="1"/>
    <xf numFmtId="44" fontId="3" fillId="3" borderId="0" xfId="2" applyFont="1" applyFill="1" applyBorder="1"/>
    <xf numFmtId="44" fontId="3" fillId="3" borderId="0" xfId="4" applyFont="1" applyFill="1" applyBorder="1"/>
  </cellXfs>
  <cellStyles count="5">
    <cellStyle name="Comma" xfId="1" builtinId="3"/>
    <cellStyle name="Currency" xfId="2" builtinId="4"/>
    <cellStyle name="Currency 2" xfId="4" xr:uid="{5AC26407-BF3D-4C6F-BDF2-159074361153}"/>
    <cellStyle name="Normal" xfId="0" builtinId="0"/>
    <cellStyle name="Percent" xfId="3" builtinId="5"/>
  </cellStyles>
  <dxfs count="305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E88373-FE7E-479B-AA46-048F3447DD65}" name="Table2" displayName="Table2" ref="A9:X141" totalsRowShown="0" headerRowDxfId="302" dataDxfId="300" headerRowBorderDxfId="301" tableBorderDxfId="299" totalsRowBorderDxfId="298">
  <autoFilter ref="A9:X141" xr:uid="{00E88373-FE7E-479B-AA46-048F3447DD65}"/>
  <sortState xmlns:xlrd2="http://schemas.microsoft.com/office/spreadsheetml/2017/richdata2" ref="A10:X141">
    <sortCondition ref="A9:A141"/>
  </sortState>
  <tableColumns count="24">
    <tableColumn id="1" xr3:uid="{A3449CFF-3998-40EA-9F31-AE268C3C8F34}" name="Random ID" dataDxfId="297"/>
    <tableColumn id="2" xr3:uid="{CA819A85-CA95-4D66-A00C-DD076F932270}" name="Rule 50 group" dataDxfId="296"/>
    <tableColumn id="25" xr3:uid="{07456FBC-F08B-4E85-AF44-FC369A81603C}" name="Economic Development Region" dataDxfId="295"/>
    <tableColumn id="18" xr3:uid="{1F4D125F-1160-4086-BDE6-F042BEFF4293}" name="Rate Quartile" dataDxfId="294"/>
    <tableColumn id="3" xr3:uid="{4994D762-FC21-4735-8006-6EE0448DE1D2}" name="C.N.A. avg hrly wage" dataDxfId="293" dataCellStyle="Currency">
      <calculatedColumnFormula>IFERROR(VLOOKUP($A10,'CNA Sample'!$A:$M,13,FALSE),0)</calculatedColumnFormula>
    </tableColumn>
    <tableColumn id="4" xr3:uid="{B198065E-70EF-4CD1-B876-4613359FEF21}" name="C.N.A. median hrly wage" dataDxfId="292">
      <calculatedColumnFormula>IFERROR(VLOOKUP($A10,'CNA Sample'!$A:$M,12,FALSE),0)</calculatedColumnFormula>
    </tableColumn>
    <tableColumn id="5" xr3:uid="{650EDD55-691C-4CC4-99F2-7ED3CD1881CA}" name="% of staff that are below the C.N.A. median" dataDxfId="291" dataCellStyle="Percent">
      <calculatedColumnFormula>IFERROR(VLOOKUP($A10,'CNA Sample'!$A:$O,15,FALSE)/VLOOKUP($A10,'CNA Sample'!$A:$O,9,FALSE),0)</calculatedColumnFormula>
    </tableColumn>
    <tableColumn id="19" xr3:uid="{86072CC3-F05B-4490-86BB-A107250C1BE2}" name="CNA comp hours per resident day" dataDxfId="290" dataCellStyle="Comma"/>
    <tableColumn id="6" xr3:uid="{C410F787-B97D-45C0-B5D4-457B928A9229}" name="Cook avg hrly wage" dataDxfId="289" dataCellStyle="Currency">
      <calculatedColumnFormula>IFERROR(VLOOKUP($A10,'Dietary Sample'!$A:$AA,27,FALSE),0)</calculatedColumnFormula>
    </tableColumn>
    <tableColumn id="7" xr3:uid="{87810A21-EFB1-4FE9-B5D1-3D179E04C795}" name="Cook median hrly wage" dataDxfId="288">
      <calculatedColumnFormula>IFERROR(VLOOKUP($A10,'Dietary Sample'!$A:$AA,26,FALSE),0)</calculatedColumnFormula>
    </tableColumn>
    <tableColumn id="8" xr3:uid="{0F10AC92-3B86-43F3-977B-DDB517472316}" name="% of staff that are below the Cook median" dataDxfId="287" dataCellStyle="Percent">
      <calculatedColumnFormula>IFERROR(VLOOKUP($A10,'Dietary Sample'!$A:$AM,35,FALSE)/VLOOKUP($A10,'Dietary Sample'!$A:$AM,18,FALSE),0)</calculatedColumnFormula>
    </tableColumn>
    <tableColumn id="21" xr3:uid="{8D7A31F8-96BF-444F-97BF-882C12CB80D8}" name="Cook comp hours per resident day" dataDxfId="286" dataCellStyle="Comma"/>
    <tableColumn id="9" xr3:uid="{C3B0FD92-3770-4823-B128-EA29D106D22E}" name="Dietary Aide avg hrly wage" dataDxfId="285">
      <calculatedColumnFormula>IFERROR(VLOOKUP($A10,'Dietary Sample'!$A:$AA,23,FALSE),0)</calculatedColumnFormula>
    </tableColumn>
    <tableColumn id="10" xr3:uid="{015F208B-3214-41E9-8818-187B7404921D}" name="Dietary Aide median hrly wage" dataDxfId="284">
      <calculatedColumnFormula>IFERROR(VLOOKUP($A10,'Dietary Sample'!$A:$AA,22,FALSE),0)</calculatedColumnFormula>
    </tableColumn>
    <tableColumn id="11" xr3:uid="{F6B009ED-AE43-4CD4-888E-16CD7B0DA485}" name="% of staff that are below the Dietary Aide median" dataDxfId="283">
      <calculatedColumnFormula>IFERROR(VLOOKUP($A10,'Dietary Sample'!$A:$AM,30,FALSE)/VLOOKUP($A10,'Dietary Sample'!$A:$AM,17,FALSE),0)</calculatedColumnFormula>
    </tableColumn>
    <tableColumn id="22" xr3:uid="{5AA602C1-9D89-42D7-B552-3D692D555F2D}" name="Dietary Aide comp hours per resident day" dataDxfId="282" dataCellStyle="Comma"/>
    <tableColumn id="12" xr3:uid="{7755EB5A-A202-40BF-A525-FF72FF75CA03}" name="Hskeeper avg hrly wage" dataDxfId="281">
      <calculatedColumnFormula>IFERROR(VLOOKUP($A10,'Housekeeping Sample'!$A:$O,15,FALSE),0)</calculatedColumnFormula>
    </tableColumn>
    <tableColumn id="13" xr3:uid="{076E9AC0-552E-45D8-9BF1-C876121C182A}" name="Hskeeper median hrly wage" dataDxfId="280">
      <calculatedColumnFormula>IFERROR(VLOOKUP($A10,'Housekeeping Sample'!$A:$O,14,FALSE),0)</calculatedColumnFormula>
    </tableColumn>
    <tableColumn id="14" xr3:uid="{A1FC6E5B-528E-4B69-9DAA-5115E87B8F80}" name="% of staff that are below the hkeeper median" dataDxfId="279">
      <calculatedColumnFormula>IFERROR(VLOOKUP($A10,'Housekeeping Sample'!$A:$P,16,FALSE)/VLOOKUP($A10,'Housekeeping Sample'!$A:$P,11,FALSE),0)</calculatedColumnFormula>
    </tableColumn>
    <tableColumn id="23" xr3:uid="{E63E8FBF-A237-41D2-A6EA-CA17B4E4D23A}" name="Hskeeping comp hours per resident day" dataDxfId="278" dataCellStyle="Comma"/>
    <tableColumn id="15" xr3:uid="{A6F61368-8DF7-45DC-B3B8-10474F5F5C5D}" name="Activity avg hrly wage" dataDxfId="277">
      <calculatedColumnFormula>IFERROR(VLOOKUP($A10,'Activities Sample'!$A:$M,13,FALSE),0)</calculatedColumnFormula>
    </tableColumn>
    <tableColumn id="16" xr3:uid="{6A8D255B-B5D8-424E-AE2A-6F4789F73038}" name="Activity median hrly wage" dataDxfId="276">
      <calculatedColumnFormula>IFERROR(VLOOKUP($A10,'Activities Sample'!$A:$M,12,FALSE),0)</calculatedColumnFormula>
    </tableColumn>
    <tableColumn id="17" xr3:uid="{52325CCD-0E5A-4280-BF5A-5166812AC587}" name="% of staff that are below the activity median" dataDxfId="275">
      <calculatedColumnFormula>IFERROR(VLOOKUP($A10,'Activities Sample'!$A:$O,15,FALSE)/VLOOKUP($A10,'Activities Sample'!$A:$O,9,FALSE),0)</calculatedColumnFormula>
    </tableColumn>
    <tableColumn id="24" xr3:uid="{A19DB8BB-8E35-4106-A205-8F9A6D7EEEFC}" name="Activities comp hours per resident day" dataDxfId="274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95F21C-BE89-4E0B-ADF8-FE245397B47D}" name="CNA_Sample" displayName="CNA_Sample" ref="A1:Y98" totalsRowCount="1" headerRowDxfId="273" dataDxfId="272" totalsRowDxfId="271">
  <autoFilter ref="A1:Y97" xr:uid="{6795F21C-BE89-4E0B-ADF8-FE245397B47D}"/>
  <sortState xmlns:xlrd2="http://schemas.microsoft.com/office/spreadsheetml/2017/richdata2" ref="A2:Y97">
    <sortCondition ref="A1:A97"/>
  </sortState>
  <tableColumns count="25">
    <tableColumn id="4" xr3:uid="{77CD8B4E-40BC-4DD6-B9B6-C054E77F652C}" name="Random ID" dataDxfId="270" totalsRowDxfId="269"/>
    <tableColumn id="5" xr3:uid="{5A23E02B-B8A1-4856-A1F5-A915FD65CB68}" name="Sample" dataDxfId="268" totalsRowDxfId="267"/>
    <tableColumn id="6" xr3:uid="{2877E5CE-EEB5-45C7-B2ED-DF7C3B822CA4}" name="Ftempcna" totalsRowFunction="sum" dataDxfId="266" totalsRowDxfId="265">
      <calculatedColumnFormula>VLOOKUP($A2,'SAS Data'!$1:$1048576,MATCH(C$1,'SAS Data'!$3:$3,0),FALSE)</calculatedColumnFormula>
    </tableColumn>
    <tableColumn id="7" xr3:uid="{EFA07776-473C-4FA2-82E4-DBCDD6981B94}" name="Ptempcna" totalsRowFunction="sum" dataDxfId="264" totalsRowDxfId="263">
      <calculatedColumnFormula>VLOOKUP($A2,'SAS Data'!$1:$1048576,MATCH(D$1,'SAS Data'!$3:$3,0),FALSE)</calculatedColumnFormula>
    </tableColumn>
    <tableColumn id="10" xr3:uid="{185E228A-D61B-44C4-8560-DC38442853ED}" name="Total employees per CR" totalsRowFunction="sum" dataDxfId="262" totalsRowDxfId="261">
      <calculatedColumnFormula>SUM(C2:D2)</calculatedColumnFormula>
    </tableColumn>
    <tableColumn id="8" xr3:uid="{F6686476-7865-4E8F-8062-254F45878E82}" name="Cna Cph" totalsRowFunction="custom" dataDxfId="260" totalsRowDxfId="259" dataCellStyle="Currency">
      <calculatedColumnFormula>VLOOKUP($A2,'SAS Data'!$1:$1048576,MATCH(F$1,'SAS Data'!$3:$3,0),FALSE)</calculatedColumnFormula>
      <totalsRowFormula>CNA_Sample[[#Totals],[Cost]]/CNA_Sample[[#Totals],[Cna Hrsn]]</totalsRowFormula>
    </tableColumn>
    <tableColumn id="9" xr3:uid="{8800B645-F93B-45B5-9A9C-E1FECFF6D5A8}" name="Cna Hrsn" totalsRowFunction="sum" dataDxfId="258" totalsRowDxfId="257" dataCellStyle="Comma">
      <calculatedColumnFormula>VLOOKUP($A2,'SAS Data'!$1:$1048576,MATCH(G$1,'SAS Data'!$3:$3,0),FALSE)</calculatedColumnFormula>
    </tableColumn>
    <tableColumn id="13" xr3:uid="{DF14C0F7-CD52-4E5E-BE60-CA2135DE2174}" name="Cost" totalsRowFunction="sum" dataDxfId="256" totalsRowDxfId="255" dataCellStyle="Comma">
      <calculatedColumnFormula>+CNA_Sample[[#This Row],[Cna Cph]]*CNA_Sample[[#This Row],[Cna Hrsn]]</calculatedColumnFormula>
    </tableColumn>
    <tableColumn id="11" xr3:uid="{1EA06E1D-0C85-4C85-8DE6-B8C64AAA9838}" name="CNA count Per Data Sample" totalsRowFunction="sum" dataDxfId="254" totalsRowDxfId="253"/>
    <tableColumn id="14" xr3:uid="{97609D79-E8AD-4557-8CA6-3104E101693B}" name="CNA min." totalsRowFunction="average" dataDxfId="252" totalsRowDxfId="251" dataCellStyle="Comma"/>
    <tableColumn id="15" xr3:uid="{89D69252-7C7E-41E2-858C-A024FF5FBD01}" name="CNA max" totalsRowFunction="average" dataDxfId="250" totalsRowDxfId="249" dataCellStyle="Comma"/>
    <tableColumn id="16" xr3:uid="{7ED77960-40FB-44A2-9142-37609D63403E}" name="CNA median" totalsRowFunction="average" dataDxfId="248" totalsRowDxfId="247" dataCellStyle="Comma"/>
    <tableColumn id="17" xr3:uid="{DF95EA88-9ACD-4ABA-B586-1E5B6E5758E9}" name="CNA average" totalsRowFunction="average" dataDxfId="246" totalsRowDxfId="245" dataCellStyle="Comma"/>
    <tableColumn id="18" xr3:uid="{AB917482-02B4-4F6A-9BAF-4822AF30AB06}" name="Below median" totalsRowFunction="sum" dataDxfId="244" totalsRowDxfId="243" dataCellStyle="Comma">
      <calculatedColumnFormula>COUNTIFS('CNA Detail'!$A:$A,$A2,'CNA Detail'!$C:$C,"&lt;"&amp;L2)</calculatedColumnFormula>
    </tableColumn>
    <tableColumn id="19" xr3:uid="{563A1117-DF6F-47E9-8279-8DA0BFD93144}" name="Below Average" totalsRowFunction="sum" dataDxfId="242" totalsRowDxfId="241" dataCellStyle="Comma">
      <calculatedColumnFormula>COUNTIFS('CNA Detail'!$A:$A,$A2,'CNA Detail'!$C:$C,"&lt;"&amp;M2)</calculatedColumnFormula>
    </tableColumn>
    <tableColumn id="20" xr3:uid="{5FC796E3-0B14-461C-9F63-27F2E6B9D203}" name="Below Floor" totalsRowFunction="sum" dataDxfId="240" totalsRowDxfId="239" dataCellStyle="Comma">
      <calculatedColumnFormula>COUNTIFS('CNA Detail'!$A:$A,$A2,'CNA Detail'!$C:$C,"&lt;"&amp;$AD$1)</calculatedColumnFormula>
    </tableColumn>
    <tableColumn id="23" xr3:uid="{006852B5-883B-4E3A-9A5D-0E232BF7498C}" name="Below weighted average median wage" totalsRowFunction="sum" dataDxfId="238" totalsRowDxfId="237" dataCellStyle="Comma">
      <calculatedColumnFormula>COUNTIFS('CNA Detail'!$A:$A,$A2,'CNA Detail'!$C:$C,"&lt;"&amp;$AD$2)</calculatedColumnFormula>
    </tableColumn>
    <tableColumn id="26" xr3:uid="{F8DCE196-9E1C-4070-82D9-2DB41F8A4345}" name="Below weighted average, average wage" totalsRowFunction="sum" dataDxfId="236" totalsRowDxfId="235" dataCellStyle="Comma">
      <calculatedColumnFormula>COUNTIFS('CNA Detail'!$A:$A,$A2,'CNA Detail'!$C:$C,"&lt;"&amp;$AD$3)</calculatedColumnFormula>
    </tableColumn>
    <tableColumn id="21" xr3:uid="{3DBD0B60-4346-41B8-8EBC-C1E551ED2445}" name="Est median wage cost " totalsRowFunction="sum" dataDxfId="234" totalsRowDxfId="233" dataCellStyle="Comma">
      <calculatedColumnFormula>+CNA_Sample[[#This Row],[CNA median]]*CNA_Sample[[#This Row],[Cna Hrsn]]</calculatedColumnFormula>
    </tableColumn>
    <tableColumn id="25" xr3:uid="{8E23360C-0A42-489B-86FC-74BBC9CA1299}" name="Est average wage cost" totalsRowFunction="sum" dataDxfId="232" totalsRowDxfId="231" dataCellStyle="Comma">
      <calculatedColumnFormula>+CNA_Sample[[#This Row],[CNA average]]*CNA_Sample[[#This Row],[Cna Hrsn]]</calculatedColumnFormula>
    </tableColumn>
    <tableColumn id="22" xr3:uid="{9A31FFD3-6810-49FD-99A7-94D1340BAFFC}" name="Percentage of cost of Est median wage cost to reported costs" totalsRowFunction="custom" dataDxfId="230" totalsRowDxfId="229" dataCellStyle="Percent">
      <calculatedColumnFormula>CNA_Sample[[#This Row],[Est median wage cost ]]/CNA_Sample[[#This Row],[Cost]]</calculatedColumnFormula>
      <totalsRowFormula>+CNA_Sample[[#Totals],[Est median wage cost ]]/CNA_Sample[[#Totals],[Cost]]</totalsRowFormula>
    </tableColumn>
    <tableColumn id="3" xr3:uid="{4A558625-1ACA-413A-99D5-C9AEA7F3A4D9}" name="Percentage of cost of Est average wage cost to reported costs" totalsRowFunction="custom" dataDxfId="228" totalsRowDxfId="227" dataCellStyle="Percent">
      <calculatedColumnFormula>CNA_Sample[[#This Row],[Est average wage cost]]/CNA_Sample[[#This Row],[Cost]]</calculatedColumnFormula>
      <totalsRowFormula>+CNA_Sample[[#Totals],[Est average wage cost]]/CNA_Sample[[#Totals],[Cost]]</totalsRowFormula>
    </tableColumn>
    <tableColumn id="1" xr3:uid="{D8C741BF-366E-44FE-9973-66D868C86150}" name="Percentage of Min wage to median wage" totalsRowFunction="custom" dataDxfId="226" totalsRowDxfId="225" dataCellStyle="Percent">
      <calculatedColumnFormula>+CNA_Sample[[#This Row],[CNA min.]]/CNA_Sample[[#This Row],[CNA median]]</calculatedColumnFormula>
      <totalsRowFormula>+CNA_Sample[[#Totals],[CNA min.]]/CNA_Sample[[#Totals],[CNA median]]</totalsRowFormula>
    </tableColumn>
    <tableColumn id="2" xr3:uid="{2E17A8DC-79C4-4328-BCF4-4E47DF56D018}" name="Percentage of Max wage to median wage " totalsRowFunction="custom" dataDxfId="224" totalsRowDxfId="223" dataCellStyle="Percent">
      <calculatedColumnFormula>+CNA_Sample[[#This Row],[CNA max]]/CNA_Sample[[#This Row],[CNA median]]</calculatedColumnFormula>
      <totalsRowFormula>+CNA_Sample[[#Totals],[CNA max]]/CNA_Sample[[#Totals],[CNA median]]</totalsRowFormula>
    </tableColumn>
    <tableColumn id="12" xr3:uid="{5DFDCF4D-14AD-4C39-BADC-AF695FFBE829}" name="GeoGroup" dataDxfId="222" totalsRowDxfId="221">
      <calculatedColumnFormula>VLOOKUP(A2,Summary!$1:$1048576,2,FALSE)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E66424-4D95-4338-9F01-41C4202228D1}" name="Dietary_Sample" displayName="Dietary_Sample" ref="A1:BB93" totalsRowCount="1" headerRowDxfId="220" dataDxfId="219" totalsRowDxfId="218">
  <autoFilter ref="A1:BB92" xr:uid="{EFE66424-4D95-4338-9F01-41C4202228D1}"/>
  <sortState xmlns:xlrd2="http://schemas.microsoft.com/office/spreadsheetml/2017/richdata2" ref="A2:BA92">
    <sortCondition ref="A1:A92"/>
  </sortState>
  <tableColumns count="54">
    <tableColumn id="4" xr3:uid="{FFB7893A-56D0-4EF6-94D8-279BCF9B39F1}" name="Random ID" dataDxfId="217" totalsRowDxfId="216"/>
    <tableColumn id="5" xr3:uid="{3F2EF486-7CA2-490C-BFC5-4D2B11F3199D}" name="Sample" dataDxfId="215" totalsRowDxfId="214"/>
    <tableColumn id="6" xr3:uid="{E09553B5-B5FD-48A3-842B-F0F2C2262FEB}" name="Ftempdietary" totalsRowFunction="sum" dataDxfId="213" totalsRowDxfId="212">
      <calculatedColumnFormula>VLOOKUP($A2,'SAS Data'!$1:$1048576,MATCH(C$1,'SAS Data'!$3:$3,0),FALSE)</calculatedColumnFormula>
    </tableColumn>
    <tableColumn id="7" xr3:uid="{98CB79C6-EF1C-4733-8FF0-DC8EE1A4D27A}" name="Ptempdietary" totalsRowFunction="sum" dataDxfId="211" totalsRowDxfId="210">
      <calculatedColumnFormula>VLOOKUP($A2,'SAS Data'!$1:$1048576,MATCH(D$1,'SAS Data'!$3:$3,0),FALSE)</calculatedColumnFormula>
    </tableColumn>
    <tableColumn id="10" xr3:uid="{A87D395F-7BAE-4FB1-8540-ED35A824A26E}" name="Total employees" totalsRowFunction="sum" dataDxfId="209" totalsRowDxfId="208">
      <calculatedColumnFormula>SUM(C2:D2)</calculatedColumnFormula>
    </tableColumn>
    <tableColumn id="8" xr3:uid="{806F0C4B-0A7A-4413-9383-54592493055C}" name="Diet Cph" totalsRowFunction="custom" dataDxfId="207" totalsRowDxfId="206" dataCellStyle="Currency">
      <calculatedColumnFormula>VLOOKUP($A2,'SAS Data'!$1:$1048576,MATCH(F$1,'SAS Data'!$3:$3,0),FALSE)</calculatedColumnFormula>
      <totalsRowFormula>Dietary_Sample[[#Totals],[Cost]]/Dietary_Sample[[#Totals],[Diet Hrsn]]</totalsRowFormula>
    </tableColumn>
    <tableColumn id="13" xr3:uid="{32FE810F-591E-4E0B-AB2C-8ACF556C2634}" name="Cost" totalsRowFunction="sum" dataDxfId="205" totalsRowDxfId="204" dataCellStyle="Comma">
      <calculatedColumnFormula>+Dietary_Sample[[#This Row],[Diet Cph]]*Dietary_Sample[[#This Row],[Diet Hrsn]]</calculatedColumnFormula>
    </tableColumn>
    <tableColumn id="42" xr3:uid="{8E6B2986-99A5-49B4-B54B-4E75DC0E3C74}" name="Aide cost estimator" totalsRowFunction="sum" dataDxfId="203" totalsRowDxfId="202" dataCellStyle="Comma">
      <calculatedColumnFormula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calculatedColumnFormula>
    </tableColumn>
    <tableColumn id="29" xr3:uid="{54178403-2B1E-43A0-88D2-1FE3F390EECE}" name="Aide Hours" totalsRowFunction="sum" dataDxfId="201" totalsRowDxfId="200" dataCellStyle="Comma">
      <calculatedColumnFormula>+Dietary_Sample[[#This Row],[Employee count Sample Data Aide]]/Dietary_Sample[[#This Row],[Total aide &amp; Cook]]*Dietary_Sample[[#This Row],[Diet Hrsn]]</calculatedColumnFormula>
    </tableColumn>
    <tableColumn id="44" xr3:uid="{CA3E4331-8587-4283-81F7-11F96EC0E635}" name="Est Aide wage" totalsRowFunction="custom" dataDxfId="199" totalsRowDxfId="198" dataCellStyle="Comma">
      <calculatedColumnFormula>IF(Dietary_Sample[[#This Row],[Aide Hours]]=0,0,Dietary_Sample[[#This Row],[Aide cost estimator]]/Dietary_Sample[[#This Row],[Aide Hours]])</calculatedColumnFormula>
      <totalsRowFormula>+Dietary_Sample[[#Totals],[Aide cost estimator]]/Dietary_Sample[[#Totals],[Aide Hours]]</totalsRowFormula>
    </tableColumn>
    <tableColumn id="43" xr3:uid="{E43D5C7F-9189-4020-A39A-7494047BA85B}" name="Cook cost estimator" totalsRowFunction="sum" dataDxfId="197" totalsRowDxfId="196" dataCellStyle="Comma">
      <calculatedColumnFormula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calculatedColumnFormula>
    </tableColumn>
    <tableColumn id="30" xr3:uid="{6F362F67-F7BC-42E2-8847-062EF8D857E7}" name="Cook Hours" totalsRowFunction="sum" dataDxfId="195" totalsRowDxfId="194" dataCellStyle="Comma">
      <calculatedColumnFormula>+Dietary_Sample[[#This Row],[Employee count Sample Data Cook]]/Dietary_Sample[[#This Row],[Total aide &amp; Cook]]*Dietary_Sample[[#This Row],[Diet Hrsn]]</calculatedColumnFormula>
    </tableColumn>
    <tableColumn id="45" xr3:uid="{5066838E-2D9D-42F0-9A92-7D8C5F415A7C}" name="Est Cook Wage" totalsRowFunction="custom" dataDxfId="193" totalsRowDxfId="192" dataCellStyle="Comma">
      <calculatedColumnFormula>IF(Dietary_Sample[[#This Row],[Cook Hours]]=0,0,Dietary_Sample[[#This Row],[Cook cost estimator]]/Dietary_Sample[[#This Row],[Cook Hours]])</calculatedColumnFormula>
      <totalsRowFormula>+Dietary_Sample[[#Totals],[Cook cost estimator]]/Dietary_Sample[[#Totals],[Cook Hours]]</totalsRowFormula>
    </tableColumn>
    <tableColumn id="36" xr3:uid="{1F9CCB33-0734-4C97-AB49-EF1EA7DDAC7B}" name="Cost Estimator" totalsRowFunction="sum" dataDxfId="191" totalsRowDxfId="190" dataCellStyle="Comma">
      <calculatedColumnFormula>VLOOKUP(A2,'Estimator data 120523'!$A:$F,5,FALSE)</calculatedColumnFormula>
    </tableColumn>
    <tableColumn id="9" xr3:uid="{405B937A-5DCB-4F8F-B944-E09A1A0D70DF}" name="Diet Hrsn" totalsRowFunction="sum" dataDxfId="189" totalsRowDxfId="188" dataCellStyle="Comma">
      <calculatedColumnFormula>VLOOKUP($A2,'SAS Data'!$1:$1048576,MATCH(O$1,'SAS Data'!$3:$3,0),FALSE)</calculatedColumnFormula>
    </tableColumn>
    <tableColumn id="37" xr3:uid="{9DF040B8-4D82-4E3E-AFF7-C4B49027A407}" name="Est CPH using estimator" totalsRowFunction="custom" dataDxfId="187" totalsRowDxfId="186" dataCellStyle="Comma">
      <calculatedColumnFormula>+Dietary_Sample[[#This Row],[Cost Estimator]]/Dietary_Sample[[#This Row],[Diet Hrsn]]</calculatedColumnFormula>
      <totalsRowFormula>+Dietary_Sample[[#Totals],[Cost Estimator]]/Dietary_Sample[[#Totals],[Diet Hrsn]]</totalsRowFormula>
    </tableColumn>
    <tableColumn id="11" xr3:uid="{38B7443F-B155-4C14-A507-4453163834D0}" name="Employee count Sample Data Aide" totalsRowFunction="sum" dataDxfId="185" totalsRowDxfId="184">
      <calculatedColumnFormula>COUNTIFS('Dietary Detail'!$R:$R,$A2,'Dietary Detail'!$U:$U,RIGHT(Q$1,4))</calculatedColumnFormula>
    </tableColumn>
    <tableColumn id="12" xr3:uid="{393F4E8E-E449-4B89-87E4-E26FE8D1F27E}" name="Employee count Sample Data Cook" totalsRowFunction="sum" dataDxfId="183" totalsRowDxfId="182">
      <calculatedColumnFormula>COUNTIFS('Dietary Detail'!$R:$R,$A2,'Dietary Detail'!$U:$U,RIGHT(R$1,4))</calculatedColumnFormula>
    </tableColumn>
    <tableColumn id="24" xr3:uid="{DD24CA8A-1651-47AF-8464-1BE0ABBD241C}" name="Total aide &amp; Cook" totalsRowFunction="sum" dataDxfId="181" totalsRowDxfId="180">
      <calculatedColumnFormula>+Dietary_Sample[[#This Row],[Employee count Sample Data Aide]]+Dietary_Sample[[#This Row],[Employee count Sample Data Cook]]</calculatedColumnFormula>
    </tableColumn>
    <tableColumn id="14" xr3:uid="{01E9C30B-09F7-4524-B246-C439049213D7}" name="Aide min" totalsRowFunction="average" dataDxfId="179" totalsRowDxfId="178" dataCellStyle="Comma"/>
    <tableColumn id="15" xr3:uid="{084A8A53-19E3-4A24-8B8E-84E9601F2BEE}" name="Aide max" totalsRowFunction="average" dataDxfId="177" totalsRowDxfId="176" dataCellStyle="Comma"/>
    <tableColumn id="16" xr3:uid="{7506F1E1-5590-4129-827D-FC66ED7BE596}" name="Aide median" totalsRowFunction="average" dataDxfId="175" totalsRowDxfId="174" dataCellStyle="Comma"/>
    <tableColumn id="17" xr3:uid="{D73476F9-2FA5-4741-BDB8-80B569D43554}" name="Aide average" totalsRowFunction="average" dataDxfId="173" totalsRowDxfId="172" dataCellStyle="Comma"/>
    <tableColumn id="27" xr3:uid="{FFF2D579-0596-4801-AFA2-4C7276332395}" name="Cook min" totalsRowFunction="average" dataDxfId="171" totalsRowDxfId="170" dataCellStyle="Comma"/>
    <tableColumn id="28" xr3:uid="{093C14EE-22A0-4E69-9008-6EF99EEC9570}" name="Cook max" totalsRowFunction="average" dataDxfId="169" totalsRowDxfId="168" dataCellStyle="Comma"/>
    <tableColumn id="31" xr3:uid="{E1A47ABF-7013-46C1-873F-6FF61DC89E05}" name="Cook median" totalsRowFunction="average" dataDxfId="167" totalsRowDxfId="166" dataCellStyle="Comma"/>
    <tableColumn id="32" xr3:uid="{1FE0FA69-E26D-49F2-AEE6-BC11EADF49D4}" name="Cook average" totalsRowFunction="average" dataDxfId="165" totalsRowDxfId="164" dataCellStyle="Comma"/>
    <tableColumn id="33" xr3:uid="{20876ACB-DCC8-4E1E-BC23-658BFC61BA5F}" name="Wage difference Median" totalsRowFunction="custom" dataDxfId="163" totalsRowDxfId="162" dataCellStyle="Comma">
      <calculatedColumnFormula>IF(AND(Dietary_Sample[[#This Row],[Aide median]]=0,Dietary_Sample[[#This Row],[Cook median]]=0),0,IF(Dietary_Sample[[#This Row],[Aide median]]=0,1,Dietary_Sample[[#This Row],[Cook median]]/Dietary_Sample[[#This Row],[Aide median]]))</calculatedColumnFormula>
      <totalsRowFormula>+Dietary_Sample[[#Totals],[Cook median]]/Dietary_Sample[[#Totals],[Aide median]]</totalsRowFormula>
    </tableColumn>
    <tableColumn id="34" xr3:uid="{A5BFE585-C718-4F3B-910B-E26EF1EF3F8C}" name="Wage difference Average" totalsRowFunction="custom" dataDxfId="161" totalsRowDxfId="160" dataCellStyle="Comma">
      <calculatedColumnFormula>IF(AND(Dietary_Sample[[#This Row],[Aide average]]=0,Dietary_Sample[[#This Row],[Cook average]]=0),0,IF(Dietary_Sample[[#This Row],[Aide average]]=0,1,Dietary_Sample[[#This Row],[Cook average]]/Dietary_Sample[[#This Row],[Aide average]]))</calculatedColumnFormula>
      <totalsRowFormula>+Dietary_Sample[[#Totals],[Cook median]]/Dietary_Sample[[#Totals],[Aide median]]</totalsRowFormula>
    </tableColumn>
    <tableColumn id="18" xr3:uid="{6037BF16-8A92-41D3-BD83-545CD1A52D4F}" name="Below median Aide" totalsRowFunction="sum" dataDxfId="159" totalsRowDxfId="158" dataCellStyle="Comma">
      <calculatedColumnFormula>COUNTIFS('Dietary Detail'!$R:$R,$A2,'Dietary Detail'!$T:$T,"&lt;"&amp;V2,'Dietary Detail'!$U:$U,RIGHT(AD$1,4))</calculatedColumnFormula>
    </tableColumn>
    <tableColumn id="19" xr3:uid="{488FF49A-E33F-4204-92CA-4F361EB0B0DA}" name="Below Average Aide" totalsRowFunction="sum" dataDxfId="157" totalsRowDxfId="156" dataCellStyle="Comma">
      <calculatedColumnFormula>COUNTIFS('Dietary Detail'!$R:$R,$A2,'Dietary Detail'!$T:$T,"&lt;"&amp;W2,'Dietary Detail'!$U:$U,RIGHT(AE$1,4))</calculatedColumnFormula>
    </tableColumn>
    <tableColumn id="20" xr3:uid="{BF44F102-566C-4163-8ECF-EFAFC1B03A2B}" name="Below Floor Aide" totalsRowFunction="sum" dataDxfId="155" totalsRowDxfId="154" dataCellStyle="Comma">
      <calculatedColumnFormula>COUNTIFS('Dietary Detail'!$R:$R,$A2,'Dietary Detail'!$T:$T,"&lt;"&amp;$BG$3,'Dietary Detail'!$U:$U,RIGHT(AF$1,4))</calculatedColumnFormula>
    </tableColumn>
    <tableColumn id="23" xr3:uid="{2856CECA-7C86-4AE3-9490-C51AC01EB344}" name="Below weighted average median wage Aide" totalsRowFunction="sum" dataDxfId="153" totalsRowDxfId="152" dataCellStyle="Comma">
      <calculatedColumnFormula>COUNTIFS('Dietary Detail'!$R:$R,$A2,'Dietary Detail'!$T:$T,"&lt;"&amp;$BG$4,'Dietary Detail'!$U:$U,RIGHT(AG$1,4))</calculatedColumnFormula>
    </tableColumn>
    <tableColumn id="26" xr3:uid="{6FEE0AD3-2C9C-4C25-B2ED-317236C942CC}" name="Below weighted average, average wage Aide" totalsRowFunction="sum" dataDxfId="151" totalsRowDxfId="150" dataCellStyle="Comma">
      <calculatedColumnFormula>COUNTIFS('Dietary Detail'!$R:$R,$A2,'Dietary Detail'!$T:$T,"&lt;"&amp;$BG$5,'Dietary Detail'!$U:$U,RIGHT(AH$1,4))</calculatedColumnFormula>
    </tableColumn>
    <tableColumn id="46" xr3:uid="{5D52D740-A6A6-4DDD-84D7-980A493D1988}" name="Below median Cook" totalsRowFunction="sum" dataDxfId="149" totalsRowDxfId="148" dataCellStyle="Comma">
      <calculatedColumnFormula>COUNTIFS('Dietary Detail'!$R:$R,$A2,'Dietary Detail'!$T:$T,"&lt;"&amp;Z2,'Dietary Detail'!$U:$U,RIGHT(AI$1,4))</calculatedColumnFormula>
    </tableColumn>
    <tableColumn id="47" xr3:uid="{D82B6F61-6043-4D09-943F-2F63580BF7F6}" name="Below Average Cook" totalsRowFunction="sum" dataDxfId="147" totalsRowDxfId="146" dataCellStyle="Comma">
      <calculatedColumnFormula>COUNTIFS('Dietary Detail'!$R:$R,$A2,'Dietary Detail'!$T:$T,"&lt;"&amp;AA2,'Dietary Detail'!$U:$U,RIGHT(AJ$1,4))</calculatedColumnFormula>
    </tableColumn>
    <tableColumn id="48" xr3:uid="{FF84FEAA-CCD3-447C-BEDA-0C235DEE8DA9}" name="Below Floor Cook" totalsRowFunction="sum" dataDxfId="145" totalsRowDxfId="144" dataCellStyle="Comma">
      <calculatedColumnFormula>COUNTIFS('Dietary Detail'!$R:$R,$A2,'Dietary Detail'!$T:$T,"&lt;"&amp;$BH$3,'Dietary Detail'!$U:$U,RIGHT(AK$1,4))</calculatedColumnFormula>
    </tableColumn>
    <tableColumn id="49" xr3:uid="{D0709DC9-BDEA-4B7A-AB4D-BA3239D2C00A}" name="Below weighted average median wage Cook" totalsRowFunction="sum" dataDxfId="143" totalsRowDxfId="142" dataCellStyle="Comma">
      <calculatedColumnFormula>COUNTIFS('Dietary Detail'!$R:$R,$A2,'Dietary Detail'!$T:$T,"&lt;"&amp;$BH$4,'Dietary Detail'!$U:$U,RIGHT(AL$1,4))</calculatedColumnFormula>
    </tableColumn>
    <tableColumn id="50" xr3:uid="{841E97D0-0AFA-4AF7-8BFB-539A799C116E}" name="Below weighted average, average wage Cook" totalsRowFunction="sum" dataDxfId="141" totalsRowDxfId="140" dataCellStyle="Comma">
      <calculatedColumnFormula>COUNTIFS('Dietary Detail'!$R:$R,$A2,'Dietary Detail'!$T:$T,"&lt;"&amp;$BH$5,'Dietary Detail'!$U:$U,RIGHT(AM$1,4))</calculatedColumnFormula>
    </tableColumn>
    <tableColumn id="21" xr3:uid="{A7BCF792-4E8B-4721-BB45-11A652134022}" name="Est median Aide wage cost " totalsRowFunction="sum" dataDxfId="139" totalsRowDxfId="138" dataCellStyle="Comma">
      <calculatedColumnFormula>+Dietary_Sample[[#This Row],[Aide median]]*Dietary_Sample[[#This Row],[Aide Hours]]</calculatedColumnFormula>
    </tableColumn>
    <tableColumn id="25" xr3:uid="{42391CEC-29D6-4437-95F9-D29656B8CDAF}" name="Est average Aide wage cost" totalsRowFunction="sum" dataDxfId="137" totalsRowDxfId="136" dataCellStyle="Comma">
      <calculatedColumnFormula>+Dietary_Sample[[#This Row],[Aide average]]*Dietary_Sample[[#This Row],[Aide Hours]]</calculatedColumnFormula>
    </tableColumn>
    <tableColumn id="38" xr3:uid="{74A0CAA9-BE11-4DC3-A4D0-E28F2E019CAE}" name="Est median Cook wage cost" totalsRowFunction="sum" dataDxfId="135" totalsRowDxfId="134" dataCellStyle="Comma">
      <calculatedColumnFormula>+Dietary_Sample[[#This Row],[Cook median]]*Dietary_Sample[[#This Row],[Cook Hours]]</calculatedColumnFormula>
    </tableColumn>
    <tableColumn id="39" xr3:uid="{E222D13B-2368-4267-B0B8-3D8323D19822}" name="Est average Cook wage cost" totalsRowFunction="sum" dataDxfId="133" totalsRowDxfId="132" dataCellStyle="Comma">
      <calculatedColumnFormula>+Dietary_Sample[[#This Row],[Cook average]]*Dietary_Sample[[#This Row],[Cook Hours]]</calculatedColumnFormula>
    </tableColumn>
    <tableColumn id="40" xr3:uid="{1784F495-0F3A-4142-904C-2FC5A09A9F7C}" name="Est Median wage cost" totalsRowFunction="sum" dataDxfId="131" totalsRowDxfId="130" dataCellStyle="Comma">
      <calculatedColumnFormula>+Dietary_Sample[[#This Row],[Est average Aide wage cost]]+Dietary_Sample[[#This Row],[Est average Cook wage cost]]</calculatedColumnFormula>
    </tableColumn>
    <tableColumn id="41" xr3:uid="{6D0985E7-DB11-4494-9E0A-271403EAC830}" name="Est average wage cost" totalsRowFunction="sum" dataDxfId="129" totalsRowDxfId="128" dataCellStyle="Comma">
      <calculatedColumnFormula>+Dietary_Sample[[#This Row],[Est average Aide wage cost]]+Dietary_Sample[[#This Row],[Est average Cook wage cost]]</calculatedColumnFormula>
    </tableColumn>
    <tableColumn id="22" xr3:uid="{31353408-A863-45A0-9D57-5E7C2592E238}" name="Percentage of cost of Est Aide median wage cost to reported costs" totalsRowFunction="custom" dataDxfId="127" totalsRowDxfId="126" dataCellStyle="Percent">
      <calculatedColumnFormula>IF(Dietary_Sample[[#This Row],[Aide cost estimator]]=0,0,Dietary_Sample[[#This Row],[Est median Aide wage cost ]]/Dietary_Sample[[#This Row],[Aide cost estimator]])</calculatedColumnFormula>
      <totalsRowFormula>+Dietary_Sample[[#Totals],[Est median Aide wage cost ]]/Dietary_Sample[[#Totals],[Aide cost estimator]]</totalsRowFormula>
    </tableColumn>
    <tableColumn id="3" xr3:uid="{43E1662E-8740-4AB9-906C-ECBE82F4AEB0}" name="Percentage of cost of Est Aide average wage cost to reported costs" totalsRowFunction="custom" dataDxfId="125" totalsRowDxfId="124" dataCellStyle="Percent">
      <calculatedColumnFormula>IF(Dietary_Sample[[#This Row],[Aide cost estimator]]=0,0,Dietary_Sample[[#This Row],[Est average Aide wage cost]]/Dietary_Sample[[#This Row],[Aide cost estimator]])</calculatedColumnFormula>
      <totalsRowFormula>+Dietary_Sample[[#Totals],[Est average Aide wage cost]]/Dietary_Sample[[#Totals],[Aide cost estimator]]</totalsRowFormula>
    </tableColumn>
    <tableColumn id="35" xr3:uid="{B2D3BF55-A22A-497D-AED5-D7165BC73025}" name="Percentage of cost of Est Cook median wage cost to reported costs" totalsRowFunction="custom" dataDxfId="123" totalsRowDxfId="122" dataCellStyle="Percent">
      <calculatedColumnFormula>IF(Dietary_Sample[[#This Row],[Cook cost estimator]]=0,0,Dietary_Sample[[#This Row],[Est median Cook wage cost]]/Dietary_Sample[[#This Row],[Cook cost estimator]])</calculatedColumnFormula>
      <totalsRowFormula>+Dietary_Sample[[#Totals],[Est median Cook wage cost]]/Dietary_Sample[[#Totals],[Cook cost estimator]]</totalsRowFormula>
    </tableColumn>
    <tableColumn id="53" xr3:uid="{83F2B445-B31A-4AC0-9D70-28F39C6654C3}" name="Percentage of cost of Est Cook  average wage cost to reported costs" totalsRowFunction="custom" dataDxfId="121" totalsRowDxfId="120" dataCellStyle="Percent">
      <calculatedColumnFormula>IF(Dietary_Sample[[#This Row],[Cook cost estimator]]=0,0,Dietary_Sample[[#This Row],[Est average Cook wage cost]]/Dietary_Sample[[#This Row],[Cook cost estimator]])</calculatedColumnFormula>
      <totalsRowFormula>+Dietary_Sample[[#Totals],[Est average Cook wage cost]]/Dietary_Sample[[#Totals],[Cook cost estimator]]</totalsRowFormula>
    </tableColumn>
    <tableColumn id="1" xr3:uid="{0651E7BD-26F0-4689-A5BC-790025969C36}" name="Percentage of Min Aide wage to median wage" totalsRowFunction="custom" dataDxfId="119" totalsRowDxfId="118" dataCellStyle="Percent">
      <calculatedColumnFormula>IF(Dietary_Sample[[#This Row],[Aide median]]=0,0,Dietary_Sample[[#This Row],[Aide min]]/Dietary_Sample[[#This Row],[Aide median]])</calculatedColumnFormula>
      <totalsRowFormula>+Dietary_Sample[[#Totals],[Aide min]]/Dietary_Sample[[#Totals],[Aide median]]</totalsRowFormula>
    </tableColumn>
    <tableColumn id="2" xr3:uid="{688409B2-B1FB-482C-8BE7-F1A5EBB38918}" name="Percentage of Max Aide wage to median wage " totalsRowFunction="custom" dataDxfId="117" totalsRowDxfId="116" dataCellStyle="Percent">
      <calculatedColumnFormula>IF(Dietary_Sample[[#This Row],[Aide median]]=0,0,Dietary_Sample[[#This Row],[Aide max]]/Dietary_Sample[[#This Row],[Aide median]])</calculatedColumnFormula>
      <totalsRowFormula>+Dietary_Sample[[#Totals],[Aide max]]/Dietary_Sample[[#Totals],[Aide median]]</totalsRowFormula>
    </tableColumn>
    <tableColumn id="51" xr3:uid="{D279C59E-ED52-44D0-B046-BBF085D8C302}" name="Percentage of Min Cook wage to median wage" totalsRowFunction="custom" dataDxfId="115" totalsRowDxfId="114" dataCellStyle="Percent">
      <calculatedColumnFormula>IF(Dietary_Sample[[#This Row],[Cook median]]=0,0,Dietary_Sample[[#This Row],[Cook min]]/Dietary_Sample[[#This Row],[Cook median]])</calculatedColumnFormula>
      <totalsRowFormula>+Dietary_Sample[[#Totals],[Aide max]]/Dietary_Sample[[#Totals],[Aide average]]</totalsRowFormula>
    </tableColumn>
    <tableColumn id="52" xr3:uid="{F805AD19-B646-44A2-88AF-F78413F154E2}" name="Percentage of Max Cook wage to median wage " totalsRowFunction="custom" dataDxfId="113" totalsRowDxfId="112" dataCellStyle="Percent">
      <calculatedColumnFormula>IF(Dietary_Sample[[#This Row],[Cook median]]=0,0,Dietary_Sample[[#This Row],[Cook max]]/Dietary_Sample[[#This Row],[Cook median]])</calculatedColumnFormula>
      <totalsRowFormula>+Dietary_Sample[[#Totals],[Aide median]]/Dietary_Sample[[#Totals],[Aide average]]</totalsRowFormula>
    </tableColumn>
    <tableColumn id="54" xr3:uid="{66DD2CC7-D72B-4AD1-BA45-47F16BF53087}" name="GeoGroup" dataDxfId="111" totalsRowDxfId="110" dataCellStyle="Percent">
      <calculatedColumnFormula>VLOOKUP(A2,Summary!$1:$1048576,2,FALSE)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C4000A-E58B-4CDD-AD36-1C4DF3B9EF81}" name="Activities_Sample" displayName="Activities_Sample" ref="A1:Y99" totalsRowCount="1" headerRowDxfId="109" dataDxfId="108" totalsRowDxfId="107">
  <autoFilter ref="A1:Y98" xr:uid="{79C4000A-E58B-4CDD-AD36-1C4DF3B9EF81}"/>
  <sortState xmlns:xlrd2="http://schemas.microsoft.com/office/spreadsheetml/2017/richdata2" ref="A2:X98">
    <sortCondition ref="A1:A98"/>
  </sortState>
  <tableColumns count="25">
    <tableColumn id="4" xr3:uid="{CAFE6D0B-EAF8-487A-9F2E-69ED3171D805}" name="Random ID" dataDxfId="106" totalsRowDxfId="105"/>
    <tableColumn id="5" xr3:uid="{E187079D-7CCA-4F19-A722-454D4A920185}" name="Sample" dataDxfId="104" totalsRowDxfId="103"/>
    <tableColumn id="6" xr3:uid="{6545E97C-B7E1-452F-90E2-6EB2C12CD190}" name="Ftempactivities" totalsRowFunction="sum" dataDxfId="102" totalsRowDxfId="101">
      <calculatedColumnFormula>VLOOKUP($A2,'SAS Data'!$1:$1048576,MATCH(C$1,'SAS Data'!$3:$3,0),FALSE)</calculatedColumnFormula>
    </tableColumn>
    <tableColumn id="7" xr3:uid="{F5A9B205-1137-401D-849F-FCCE2D49CE57}" name="Ptempactivities" totalsRowFunction="sum" dataDxfId="100" totalsRowDxfId="99">
      <calculatedColumnFormula>VLOOKUP($A2,'SAS Data'!$1:$1048576,MATCH(D$1,'SAS Data'!$3:$3,0),FALSE)</calculatedColumnFormula>
    </tableColumn>
    <tableColumn id="10" xr3:uid="{105DA8F9-D4E0-44E7-AC47-ABAC01948928}" name="Total employees per CR" totalsRowFunction="sum" dataDxfId="98" totalsRowDxfId="97">
      <calculatedColumnFormula>SUM(C2:D2)</calculatedColumnFormula>
    </tableColumn>
    <tableColumn id="8" xr3:uid="{A9B13659-924A-42B9-B740-11A7F64CF492}" name="Act Cph" totalsRowFunction="custom" dataDxfId="96" totalsRowDxfId="95" dataCellStyle="Currency">
      <calculatedColumnFormula>VLOOKUP($A2,'SAS Data'!$1:$1048576,MATCH(F$1,'SAS Data'!$3:$3,0),FALSE)</calculatedColumnFormula>
      <totalsRowFormula>Activities_Sample[[#Totals],[Cost]]/Activities_Sample[[#Totals],[Act Hrsn]]</totalsRowFormula>
    </tableColumn>
    <tableColumn id="9" xr3:uid="{FD8E0E8D-29AE-4489-A5C3-46525926D5A1}" name="Act Hrsn" totalsRowFunction="sum" dataDxfId="94" totalsRowDxfId="93" dataCellStyle="Comma">
      <calculatedColumnFormula>VLOOKUP($A2,'SAS Data'!$1:$1048576,MATCH(G$1,'SAS Data'!$3:$3,0),FALSE)</calculatedColumnFormula>
    </tableColumn>
    <tableColumn id="13" xr3:uid="{7B6294E2-A61F-4637-B875-516EBA99DA08}" name="Cost" totalsRowFunction="sum" dataDxfId="92" totalsRowDxfId="91" dataCellStyle="Comma">
      <calculatedColumnFormula>+Activities_Sample[[#This Row],[Act Cph]]*Activities_Sample[[#This Row],[Act Hrsn]]</calculatedColumnFormula>
    </tableColumn>
    <tableColumn id="11" xr3:uid="{008A26A2-0769-4F27-86C6-04E2111D9367}" name="Act Aide count Per Data Sample" totalsRowFunction="sum" dataDxfId="90" totalsRowDxfId="89">
      <calculatedColumnFormula>COUNTIF('Act detail'!A:C,A2)</calculatedColumnFormula>
    </tableColumn>
    <tableColumn id="14" xr3:uid="{073A3425-F57A-4FCB-972F-89462F67C874}" name="Act Aide min" totalsRowFunction="average" dataDxfId="88" totalsRowDxfId="87" dataCellStyle="Comma"/>
    <tableColumn id="15" xr3:uid="{F47E3F30-72E3-4DB2-A6BB-E5FF17EA4005}" name="Act Aide max" totalsRowFunction="average" dataDxfId="86" totalsRowDxfId="85" dataCellStyle="Comma"/>
    <tableColumn id="16" xr3:uid="{CD75EF40-B067-47BB-AB42-B191BE88654C}" name="Act Aide median" totalsRowFunction="average" dataDxfId="84" totalsRowDxfId="83" dataCellStyle="Comma"/>
    <tableColumn id="17" xr3:uid="{F33E5BF9-1CF5-4FFC-9A5D-32C29ACB546C}" name="Act Aide average" totalsRowFunction="average" dataDxfId="82" totalsRowDxfId="81" dataCellStyle="Comma"/>
    <tableColumn id="18" xr3:uid="{53E3DD70-240A-4075-AB3E-D6B179E483DE}" name="Below median" totalsRowFunction="sum" dataDxfId="80" totalsRowDxfId="79" dataCellStyle="Comma">
      <calculatedColumnFormula>COUNTIFS('Act detail'!$A:$A,$A2,'Act detail'!$C:$C,"&lt;"&amp;L2)</calculatedColumnFormula>
    </tableColumn>
    <tableColumn id="19" xr3:uid="{420B2F95-2C25-45E2-856B-1E87B50988DF}" name="Below Average" totalsRowFunction="sum" dataDxfId="78" totalsRowDxfId="77" dataCellStyle="Comma">
      <calculatedColumnFormula>COUNTIFS('Act detail'!$A:$A,$A2,'Act detail'!$C:$C,"&lt;"&amp;M2)</calculatedColumnFormula>
    </tableColumn>
    <tableColumn id="20" xr3:uid="{83BD24F6-9A12-477F-A0B5-043E55F718B1}" name="Below Floor" totalsRowFunction="sum" dataDxfId="76" totalsRowDxfId="75" dataCellStyle="Comma">
      <calculatedColumnFormula>COUNTIFS('Act detail'!A:A,$A2,'Act detail'!$C:$C,"&lt;"&amp;$AC$1)</calculatedColumnFormula>
    </tableColumn>
    <tableColumn id="23" xr3:uid="{A2B6A81E-A5D2-4A8C-96E8-E6B91D14030A}" name="Below weighted average median wage" totalsRowFunction="sum" dataDxfId="74" totalsRowDxfId="73" dataCellStyle="Comma">
      <calculatedColumnFormula>COUNTIFS('Act detail'!A:A,$A2,'Act detail'!$C:$C,"&lt;"&amp;$AC$2)</calculatedColumnFormula>
    </tableColumn>
    <tableColumn id="26" xr3:uid="{28FF993F-0948-443F-9B72-8100529728E8}" name="Below weighted average, average wage" totalsRowFunction="sum" dataDxfId="72" totalsRowDxfId="71" dataCellStyle="Comma">
      <calculatedColumnFormula>COUNTIFS('Act detail'!A:A,$A2,'Act detail'!$C:$C,"&lt;"&amp;$AC$3)</calculatedColumnFormula>
    </tableColumn>
    <tableColumn id="21" xr3:uid="{4866F155-D0D8-457A-8D3E-C5E0CEC7D4E1}" name="Est median wage cost " totalsRowFunction="sum" dataDxfId="70" totalsRowDxfId="69" dataCellStyle="Comma">
      <calculatedColumnFormula>+Activities_Sample[[#This Row],[Act Aide median]]*Activities_Sample[[#This Row],[Act Hrsn]]</calculatedColumnFormula>
    </tableColumn>
    <tableColumn id="25" xr3:uid="{A74AB91A-AED4-481F-B481-C9C7679DBF1F}" name="Est average wage cost" totalsRowFunction="sum" dataDxfId="68" totalsRowDxfId="67" dataCellStyle="Comma">
      <calculatedColumnFormula>+Activities_Sample[[#This Row],[Act Aide average]]*Activities_Sample[[#This Row],[Act Hrsn]]</calculatedColumnFormula>
    </tableColumn>
    <tableColumn id="22" xr3:uid="{78269267-234F-4B92-ADA3-EA44D1F237E3}" name="Percentage of cost of Est median wage cost to reported costs" totalsRowFunction="custom" dataDxfId="66" totalsRowDxfId="65" dataCellStyle="Percent">
      <calculatedColumnFormula>Activities_Sample[[#This Row],[Est median wage cost ]]/Activities_Sample[[#This Row],[Cost]]</calculatedColumnFormula>
      <totalsRowFormula>+Activities_Sample[[#Totals],[Est median wage cost ]]/Activities_Sample[[#Totals],[Cost]]</totalsRowFormula>
    </tableColumn>
    <tableColumn id="3" xr3:uid="{6D08DF94-FD8E-42CB-93EA-63709A96F548}" name="Percentage of cost of Est average wage cost to reported costs" totalsRowFunction="custom" dataDxfId="64" totalsRowDxfId="63" dataCellStyle="Percent">
      <calculatedColumnFormula>Activities_Sample[[#This Row],[Est average wage cost]]/Activities_Sample[[#This Row],[Cost]]</calculatedColumnFormula>
      <totalsRowFormula>+Activities_Sample[[#Totals],[Est average wage cost]]/Activities_Sample[[#Totals],[Cost]]</totalsRowFormula>
    </tableColumn>
    <tableColumn id="1" xr3:uid="{E7AB400B-CF9C-49D1-8DAC-4A9654A761AD}" name="Percentage of Min wage to median wage" totalsRowFunction="custom" dataDxfId="62" totalsRowDxfId="61" dataCellStyle="Percent">
      <calculatedColumnFormula>+Activities_Sample[[#This Row],[Act Aide min]]/Activities_Sample[[#This Row],[Act Aide median]]</calculatedColumnFormula>
      <totalsRowFormula>+Activities_Sample[[#Totals],[Act Aide min]]/Activities_Sample[[#Totals],[Act Aide median]]</totalsRowFormula>
    </tableColumn>
    <tableColumn id="2" xr3:uid="{7D47E788-A590-462B-8A2D-E1DC33F6D09E}" name="Percentage of Max wage to median wage " totalsRowFunction="custom" dataDxfId="60" totalsRowDxfId="59" dataCellStyle="Percent">
      <calculatedColumnFormula>+Activities_Sample[[#This Row],[Act Aide max]]/Activities_Sample[[#This Row],[Act Aide median]]</calculatedColumnFormula>
      <totalsRowFormula>+Activities_Sample[[#Totals],[Act Aide max]]/Activities_Sample[[#Totals],[Act Aide median]]</totalsRowFormula>
    </tableColumn>
    <tableColumn id="12" xr3:uid="{3EDEB9C2-5132-4B5F-B2BB-BBABF61731A7}" name="GeoGroup" dataDxfId="58" totalsRowDxfId="57">
      <calculatedColumnFormula>VLOOKUP(A2,Summary!$1:$1048576,2,FALSE)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4EA31E-ADAF-4A12-B54E-DB2A6BD5469E}" name="Housekeeping_sample" displayName="Housekeeping_sample" ref="A1:AA96" totalsRowCount="1" headerRowDxfId="56" dataDxfId="55" totalsRowDxfId="54">
  <autoFilter ref="A1:AA95" xr:uid="{3D4EA31E-ADAF-4A12-B54E-DB2A6BD5469E}"/>
  <sortState xmlns:xlrd2="http://schemas.microsoft.com/office/spreadsheetml/2017/richdata2" ref="A2:Z95">
    <sortCondition ref="J1:J95"/>
  </sortState>
  <tableColumns count="27">
    <tableColumn id="4" xr3:uid="{2DAA9D4B-FCC7-46D2-B88C-9CFAB5FAEFEC}" name="Random ID" dataDxfId="53" totalsRowDxfId="52"/>
    <tableColumn id="5" xr3:uid="{58B77171-7309-4130-ABE7-5A9B46DA6294}" name="Sample" dataDxfId="51" totalsRowDxfId="50"/>
    <tableColumn id="6" xr3:uid="{447DA752-E231-4780-96F0-0C0AFAC1EB7C}" name="Ftemphskpg" totalsRowFunction="sum" dataDxfId="49" totalsRowDxfId="48">
      <calculatedColumnFormula>VLOOKUP($A2,'SAS Data'!$1:$1048576,MATCH(C$1,'SAS Data'!$3:$3,0),FALSE)</calculatedColumnFormula>
    </tableColumn>
    <tableColumn id="7" xr3:uid="{FDF14812-6CB9-4E02-8F18-7F77BFAC5F18}" name="Ptemphskpg" totalsRowFunction="sum" dataDxfId="47" totalsRowDxfId="46">
      <calculatedColumnFormula>VLOOKUP($A2,'SAS Data'!$1:$1048576,MATCH(D$1,'SAS Data'!$3:$3,0),FALSE)</calculatedColumnFormula>
    </tableColumn>
    <tableColumn id="10" xr3:uid="{84979CBF-4502-4B33-8E69-74275F2A98E8}" name="Total employees per CR" totalsRowFunction="sum" dataDxfId="45" totalsRowDxfId="44">
      <calculatedColumnFormula>SUM(C2:D2)</calculatedColumnFormula>
    </tableColumn>
    <tableColumn id="8" xr3:uid="{3C29354E-0FB0-4327-8AD2-3C9BFFBC93D5}" name="Hkpg Cph" totalsRowFunction="custom" dataDxfId="43" totalsRowDxfId="42" dataCellStyle="Currency">
      <calculatedColumnFormula>VLOOKUP($A2,'SAS Data'!$1:$1048576,MATCH(F$1,'SAS Data'!$3:$3,0),FALSE)</calculatedColumnFormula>
      <totalsRowFormula>Housekeeping_sample[[#Totals],[Cost]]/Housekeeping_sample[[#Totals],[Hkpg Hrsn]]</totalsRowFormula>
    </tableColumn>
    <tableColumn id="9" xr3:uid="{CFC00B8E-8A22-428F-A83F-44EB45E53EC0}" name="Hkpg Hrsn" totalsRowFunction="sum" dataDxfId="41" totalsRowDxfId="40" dataCellStyle="Comma">
      <calculatedColumnFormula>VLOOKUP($A2,'SAS Data'!$1:$1048576,MATCH(G$1,'SAS Data'!$3:$3,0),FALSE)</calculatedColumnFormula>
    </tableColumn>
    <tableColumn id="13" xr3:uid="{980BBCEE-C830-4860-876A-5AED7DD4F9F2}" name="Cost" totalsRowFunction="sum" dataDxfId="39" totalsRowDxfId="38" dataCellStyle="Comma">
      <calculatedColumnFormula>+Housekeeping_sample[[#This Row],[Hkpg Cph]]*Housekeeping_sample[[#This Row],[Hkpg Hrsn]]</calculatedColumnFormula>
    </tableColumn>
    <tableColumn id="12" xr3:uid="{70BB9A5B-E2EC-471C-A63B-067426625B64}" name="Costs Rate Estimator" totalsRowFunction="sum" dataDxfId="37" totalsRowDxfId="36" dataCellStyle="Comma">
      <calculatedColumnFormula>VLOOKUP(Housekeeping_sample[[#This Row],[Random ID]],'Estimator data 120523'!$A:$H,8,FALSE)</calculatedColumnFormula>
    </tableColumn>
    <tableColumn id="24" xr3:uid="{B005912F-DDED-49FA-85B1-90EA0A0768C2}" name="Estimator cPH" totalsRowFunction="custom" dataDxfId="35" totalsRowDxfId="34" dataCellStyle="Currency">
      <calculatedColumnFormula>+Housekeeping_sample[[#This Row],[Costs Rate Estimator]]/Housekeeping_sample[[#This Row],[Hkpg Hrsn]]</calculatedColumnFormula>
      <totalsRowFormula>+Housekeeping_sample[[#Totals],[Costs Rate Estimator]]/Housekeeping_sample[[#Totals],[Hkpg Hrsn]]</totalsRowFormula>
    </tableColumn>
    <tableColumn id="11" xr3:uid="{C00F6EC4-38DC-4761-ADEE-83D68284D464}" name="Hkpg count Per Data Sample" totalsRowFunction="sum" dataDxfId="33" totalsRowDxfId="32">
      <calculatedColumnFormula>COUNTIF('HSKG detail'!A:A,A2)</calculatedColumnFormula>
    </tableColumn>
    <tableColumn id="14" xr3:uid="{AD4AE340-FB1F-4861-9826-7A6AB54344D7}" name="Hkpg min" totalsRowFunction="average" dataDxfId="31" totalsRowDxfId="30" dataCellStyle="Comma"/>
    <tableColumn id="15" xr3:uid="{912F290C-C126-4ABB-9097-F97F6261906B}" name="Hkpg max" totalsRowFunction="average" dataDxfId="29" totalsRowDxfId="28" dataCellStyle="Comma"/>
    <tableColumn id="16" xr3:uid="{70FC87CE-A5C5-47AA-9534-165004424424}" name="Hkpg median" totalsRowFunction="average" dataDxfId="27" totalsRowDxfId="26" dataCellStyle="Comma"/>
    <tableColumn id="17" xr3:uid="{FD4949A4-3C11-4DC6-B0D5-41D063E35246}" name="Hkpg average" totalsRowFunction="average" dataDxfId="25" totalsRowDxfId="24" dataCellStyle="Comma"/>
    <tableColumn id="18" xr3:uid="{ABF8F0F2-C678-454E-BA08-1951C56AE6BB}" name="Below median" totalsRowFunction="sum" dataDxfId="23" totalsRowDxfId="22" dataCellStyle="Comma">
      <calculatedColumnFormula>COUNTIFS('HSKG detail'!$A:$A,$A2,'HSKG detail'!$C:$C,"&lt;"&amp;N2)</calculatedColumnFormula>
    </tableColumn>
    <tableColumn id="19" xr3:uid="{A01AF37E-5C83-4C38-92D8-7DE3B9C0DC45}" name="Below Average" totalsRowFunction="sum" dataDxfId="21" totalsRowDxfId="20" dataCellStyle="Comma">
      <calculatedColumnFormula>COUNTIFS('HSKG detail'!$A:$A,$A2,'HSKG detail'!$C:$C,"&lt;"&amp;O2)</calculatedColumnFormula>
    </tableColumn>
    <tableColumn id="20" xr3:uid="{EADE44E3-95A6-4235-9596-8C1B254B6A37}" name="Below Floor" totalsRowFunction="sum" dataDxfId="19" totalsRowDxfId="18" dataCellStyle="Comma">
      <calculatedColumnFormula>COUNTIFS('HSKG detail'!$A:$A,$A2,'HSKG detail'!$C:$C,"&lt;"&amp;$AE$1)</calculatedColumnFormula>
    </tableColumn>
    <tableColumn id="23" xr3:uid="{2B114861-5E68-4F47-815F-2844351CF9A6}" name="Below weighted average median wage" totalsRowFunction="sum" dataDxfId="17" totalsRowDxfId="16" dataCellStyle="Comma">
      <calculatedColumnFormula>COUNTIFS('HSKG detail'!$A:$A,$A2,'HSKG detail'!$C:$C,"&lt;"&amp;$AE$2)</calculatedColumnFormula>
    </tableColumn>
    <tableColumn id="26" xr3:uid="{9118F864-BA21-4A91-ADF1-4DC3E65C2F47}" name="Below weighted average, average wage" totalsRowFunction="sum" dataDxfId="15" totalsRowDxfId="14" dataCellStyle="Comma">
      <calculatedColumnFormula>COUNTIFS('HSKG detail'!$A:$A,$A2,'HSKG detail'!$C:$C,"&lt;"&amp;$AE$3)</calculatedColumnFormula>
    </tableColumn>
    <tableColumn id="21" xr3:uid="{C87240C9-0CBD-4F67-8951-72868D48CFD0}" name="Est median wage cost " totalsRowFunction="sum" dataDxfId="13" totalsRowDxfId="12" dataCellStyle="Comma">
      <calculatedColumnFormula>+Housekeeping_sample[[#This Row],[Hkpg median]]*Housekeeping_sample[[#This Row],[Hkpg Hrsn]]</calculatedColumnFormula>
    </tableColumn>
    <tableColumn id="25" xr3:uid="{77C64C03-85F2-4D16-A01E-80CC5F20AA5A}" name="Est average wage cost" totalsRowFunction="sum" dataDxfId="11" totalsRowDxfId="10" dataCellStyle="Comma">
      <calculatedColumnFormula>+Housekeeping_sample[[#This Row],[Hkpg average]]*Housekeeping_sample[[#This Row],[Hkpg Hrsn]]</calculatedColumnFormula>
    </tableColumn>
    <tableColumn id="22" xr3:uid="{2A0C6061-16D4-4BAB-A54B-080F4FD39C56}" name="Percentage of cost of Est median wage cost to reported costs" totalsRowFunction="custom" dataDxfId="9" totalsRowDxfId="8" dataCellStyle="Percent">
      <calculatedColumnFormula>Housekeeping_sample[[#This Row],[Est median wage cost ]]/Housekeeping_sample[[#This Row],[Costs Rate Estimator]]</calculatedColumnFormula>
      <totalsRowFormula>+Housekeeping_sample[[#Totals],[Est median wage cost ]]/Housekeeping_sample[[#Totals],[Costs Rate Estimator]]</totalsRowFormula>
    </tableColumn>
    <tableColumn id="3" xr3:uid="{4945A485-1F40-423C-B687-FB926DB30A23}" name="Percentage of cost of Est average wage cost to reported costs" totalsRowFunction="custom" dataDxfId="7" totalsRowDxfId="6" dataCellStyle="Percent">
      <calculatedColumnFormula>Housekeeping_sample[[#This Row],[Est average wage cost]]/Housekeeping_sample[[#This Row],[Costs Rate Estimator]]</calculatedColumnFormula>
      <totalsRowFormula>+Housekeeping_sample[[#Totals],[Est average wage cost]]/Housekeeping_sample[[#Totals],[Costs Rate Estimator]]</totalsRowFormula>
    </tableColumn>
    <tableColumn id="1" xr3:uid="{99706B3B-7237-4BEB-911A-21510757C040}" name="Percentage of Min wage to median wage" totalsRowFunction="custom" dataDxfId="5" totalsRowDxfId="4" dataCellStyle="Percent">
      <calculatedColumnFormula>+Housekeeping_sample[[#This Row],[Hkpg min]]/Housekeeping_sample[[#This Row],[Hkpg median]]</calculatedColumnFormula>
      <totalsRowFormula>+Housekeeping_sample[[#Totals],[Hkpg min]]/Housekeeping_sample[[#Totals],[Hkpg median]]</totalsRowFormula>
    </tableColumn>
    <tableColumn id="2" xr3:uid="{3514B13D-CE0B-4DB0-BAE0-C6CA10AA05DE}" name="Percentage of Max wage to median wage " totalsRowFunction="custom" dataDxfId="3" totalsRowDxfId="2" dataCellStyle="Percent">
      <calculatedColumnFormula>+Housekeeping_sample[[#This Row],[Hkpg max]]/Housekeeping_sample[[#This Row],[Hkpg median]]</calculatedColumnFormula>
      <totalsRowFormula>+Housekeeping_sample[[#Totals],[Hkpg max]]/Housekeeping_sample[[#Totals],[Hkpg median]]</totalsRowFormula>
    </tableColumn>
    <tableColumn id="27" xr3:uid="{110CAB12-6925-40CB-AF13-478D6AE2508B}" name="GeoGroup" totalsRowFunction="custom" dataDxfId="1" totalsRowDxfId="0">
      <calculatedColumnFormula>VLOOKUP(A2,Summary!$1:$1048576,2,FALSE)</calculatedColumnFormula>
      <totalsRowFormula>VLOOKUP(A96,Summary!$1:$1048576,2)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1138-8BB0-45F5-A56B-CD7C96B7F467}">
  <dimension ref="A1:AB141"/>
  <sheetViews>
    <sheetView tabSelected="1" zoomScale="160" zoomScaleNormal="160" workbookViewId="0">
      <selection activeCell="E2" sqref="E2"/>
    </sheetView>
  </sheetViews>
  <sheetFormatPr defaultColWidth="15.68359375" defaultRowHeight="14.4" x14ac:dyDescent="0.55000000000000004"/>
  <cols>
    <col min="2" max="2" width="9.578125" customWidth="1"/>
    <col min="3" max="3" width="13.578125" customWidth="1"/>
    <col min="4" max="4" width="10.26171875" customWidth="1"/>
    <col min="5" max="5" width="10.68359375" style="1" customWidth="1"/>
    <col min="6" max="6" width="10.68359375" customWidth="1"/>
    <col min="7" max="7" width="10.68359375" style="2" customWidth="1"/>
    <col min="8" max="8" width="10.68359375" style="4" customWidth="1"/>
    <col min="9" max="9" width="10.68359375" style="1" customWidth="1"/>
    <col min="10" max="10" width="10.68359375" customWidth="1"/>
    <col min="11" max="11" width="10.68359375" style="2" customWidth="1"/>
    <col min="12" max="12" width="10.68359375" style="4" customWidth="1"/>
    <col min="13" max="15" width="10.68359375" customWidth="1"/>
    <col min="16" max="16" width="10.68359375" style="4" customWidth="1"/>
    <col min="17" max="19" width="10.68359375" customWidth="1"/>
    <col min="20" max="20" width="10.68359375" style="4" customWidth="1"/>
    <col min="21" max="23" width="10.68359375" customWidth="1"/>
    <col min="24" max="24" width="10.68359375" style="4" customWidth="1"/>
  </cols>
  <sheetData>
    <row r="1" spans="1:28" x14ac:dyDescent="0.55000000000000004">
      <c r="E1" t="s">
        <v>0</v>
      </c>
      <c r="G1"/>
      <c r="I1" t="s">
        <v>1</v>
      </c>
      <c r="K1"/>
      <c r="M1" t="s">
        <v>2</v>
      </c>
      <c r="Q1" t="s">
        <v>3</v>
      </c>
      <c r="U1" t="s">
        <v>4</v>
      </c>
    </row>
    <row r="2" spans="1:28" x14ac:dyDescent="0.55000000000000004">
      <c r="A2" t="s">
        <v>5</v>
      </c>
      <c r="E2" s="67">
        <v>25</v>
      </c>
      <c r="I2" s="67">
        <v>25</v>
      </c>
      <c r="M2" s="67">
        <v>25</v>
      </c>
      <c r="Q2" s="67">
        <v>25</v>
      </c>
      <c r="U2" s="67">
        <v>25</v>
      </c>
      <c r="V2" s="1"/>
    </row>
    <row r="3" spans="1:28" s="38" customFormat="1" x14ac:dyDescent="0.55000000000000004">
      <c r="A3" s="38" t="s">
        <v>6</v>
      </c>
      <c r="B3" s="38" t="s">
        <v>7</v>
      </c>
      <c r="E3" s="43" t="s">
        <v>8</v>
      </c>
      <c r="G3" s="40"/>
      <c r="H3" s="41"/>
      <c r="I3" s="39" t="str">
        <f>+E3</f>
        <v>ALL</v>
      </c>
      <c r="K3" s="40"/>
      <c r="L3" s="41"/>
      <c r="M3" s="39" t="str">
        <f>+I3</f>
        <v>ALL</v>
      </c>
      <c r="P3" s="41"/>
      <c r="Q3" s="39" t="str">
        <f>+M3</f>
        <v>ALL</v>
      </c>
      <c r="T3" s="41"/>
      <c r="U3" s="39" t="str">
        <f>+Q3</f>
        <v>ALL</v>
      </c>
      <c r="V3" s="42"/>
      <c r="X3" s="41"/>
    </row>
    <row r="4" spans="1:28" x14ac:dyDescent="0.55000000000000004">
      <c r="A4" t="s">
        <v>9</v>
      </c>
      <c r="E4" s="1">
        <f>MEDIAN('CNA Detail'!C2:C3006)</f>
        <v>20.3</v>
      </c>
      <c r="F4" s="3"/>
      <c r="I4" s="1">
        <f>MEDIAN('Dietary Detail'!M2:M402)</f>
        <v>19.68</v>
      </c>
      <c r="M4" s="1">
        <f>MEDIAN('Dietary Detail'!H2:H1041)</f>
        <v>16.059999999999999</v>
      </c>
      <c r="Q4" s="1">
        <f>MEDIAN('HSKG detail'!C5:C570)</f>
        <v>16.985599999999998</v>
      </c>
      <c r="U4" s="1">
        <f>MEDIAN('Act detail'!C2:C429)</f>
        <v>16.814999999999998</v>
      </c>
    </row>
    <row r="5" spans="1:28" x14ac:dyDescent="0.55000000000000004">
      <c r="A5" t="s">
        <v>10</v>
      </c>
      <c r="E5" s="3">
        <f>IF(E3="all",'CNA Sample'!P100, IF(E3=1,'CNA Sample'!P101,IF(E3=2,'CNA Sample'!P102,'CNA Sample'!P103)))</f>
        <v>2808</v>
      </c>
      <c r="F5" s="3"/>
      <c r="I5" s="3">
        <f>IF(I3="all",'Dietary Sample'!AK100, IF(I3=1,'Dietary Sample'!AK101,IF(I3=2,'Dietary Sample'!AK102,'Dietary Sample'!AK103)))</f>
        <v>384</v>
      </c>
      <c r="M5" s="3">
        <f>IF(M3="all",'Dietary Sample'!AF100, IF(M3=1,'Dietary Sample'!AF101,IF(M3=2,'Dietary Sample'!AF102,'Dietary Sample'!AF103)))</f>
        <v>1031</v>
      </c>
      <c r="Q5" s="3">
        <f>IF(Q3="all",'Housekeeping Sample'!R100, IF(Q3=1,'Housekeeping Sample'!R101,IF(Q3=2,'Housekeeping Sample'!R102,'Housekeeping Sample'!R103)))</f>
        <v>1126</v>
      </c>
      <c r="U5" s="3">
        <f>IF(U3="all",'Activities Sample'!P100, IF(U3=1,'Activities Sample'!P101,IF(U3=2,'Activities Sample'!P102,'Activities Sample'!P103)))</f>
        <v>420</v>
      </c>
      <c r="AB5" t="s">
        <v>8</v>
      </c>
    </row>
    <row r="6" spans="1:28" x14ac:dyDescent="0.55000000000000004">
      <c r="A6" t="s">
        <v>11</v>
      </c>
      <c r="E6" s="3">
        <f>IF(E3="all",'CNA Sample'!I100, IF(E3=1,'CNA Sample'!I101,IF(E3=2,'CNA Sample'!I102,'CNA Sample'!I103)))</f>
        <v>3005</v>
      </c>
      <c r="F6" s="3"/>
      <c r="I6" s="3">
        <f>IF(I3="all",'Dietary Sample'!R100, IF(I3=1,'Dietary Sample'!R101,IF(I3=2,'Dietary Sample'!R102,'Dietary Sample'!R103)))</f>
        <v>400</v>
      </c>
      <c r="M6" s="3">
        <f>IF(E3="all",'Dietary Sample'!Q100, IF(E3=1,'Dietary Sample'!Q101,IF(E3=2,'Dietary Sample'!Q102,'Dietary Sample'!Q103)))</f>
        <v>1033</v>
      </c>
      <c r="Q6" s="3">
        <f>IF(Q3="all",'Housekeeping Sample'!K100, IF(Q3=1,'Housekeeping Sample'!K101,IF(Q3=2,'Housekeeping Sample'!K102,'Housekeeping Sample'!K103)))</f>
        <v>1128</v>
      </c>
      <c r="U6" s="3">
        <f>IF(U3="all",'Activities Sample'!I100, IF(U3=1,'Activities Sample'!I101,IF(U3=2,'Activities Sample'!I102,'Activities Sample'!I103)))</f>
        <v>428</v>
      </c>
      <c r="AB6">
        <v>1</v>
      </c>
    </row>
    <row r="7" spans="1:28" x14ac:dyDescent="0.55000000000000004">
      <c r="A7" t="s">
        <v>12</v>
      </c>
      <c r="E7" s="2">
        <f>+E5/E6</f>
        <v>0.93444259567387689</v>
      </c>
      <c r="I7" s="2">
        <f>+I5/I6</f>
        <v>0.96</v>
      </c>
      <c r="M7" s="2">
        <f>+M5/M6</f>
        <v>0.99806389157792841</v>
      </c>
      <c r="Q7" s="2">
        <f>+Q5/Q6</f>
        <v>0.99822695035460995</v>
      </c>
      <c r="U7" s="2">
        <f>+U5/U6</f>
        <v>0.98130841121495327</v>
      </c>
      <c r="V7" s="2"/>
      <c r="AB7">
        <v>2</v>
      </c>
    </row>
    <row r="8" spans="1:28" x14ac:dyDescent="0.55000000000000004">
      <c r="AB8">
        <v>3</v>
      </c>
    </row>
    <row r="9" spans="1:28" s="49" customFormat="1" ht="72" x14ac:dyDescent="0.55000000000000004">
      <c r="A9" s="44" t="s">
        <v>13</v>
      </c>
      <c r="B9" s="45" t="s">
        <v>14</v>
      </c>
      <c r="C9" s="45" t="s">
        <v>15</v>
      </c>
      <c r="D9" s="45" t="s">
        <v>16</v>
      </c>
      <c r="E9" s="46" t="s">
        <v>17</v>
      </c>
      <c r="F9" s="45" t="s">
        <v>18</v>
      </c>
      <c r="G9" s="47" t="s">
        <v>19</v>
      </c>
      <c r="H9" s="48" t="s">
        <v>20</v>
      </c>
      <c r="I9" s="46" t="s">
        <v>21</v>
      </c>
      <c r="J9" s="45" t="s">
        <v>22</v>
      </c>
      <c r="K9" s="47" t="s">
        <v>23</v>
      </c>
      <c r="L9" s="48" t="s">
        <v>24</v>
      </c>
      <c r="M9" s="45" t="s">
        <v>25</v>
      </c>
      <c r="N9" s="45" t="s">
        <v>26</v>
      </c>
      <c r="O9" s="45" t="s">
        <v>27</v>
      </c>
      <c r="P9" s="48" t="s">
        <v>28</v>
      </c>
      <c r="Q9" s="45" t="s">
        <v>29</v>
      </c>
      <c r="R9" s="45" t="s">
        <v>30</v>
      </c>
      <c r="S9" s="45" t="s">
        <v>31</v>
      </c>
      <c r="T9" s="48" t="s">
        <v>32</v>
      </c>
      <c r="U9" s="45" t="s">
        <v>33</v>
      </c>
      <c r="V9" s="45" t="s">
        <v>34</v>
      </c>
      <c r="W9" s="45" t="s">
        <v>35</v>
      </c>
      <c r="X9" s="48" t="s">
        <v>36</v>
      </c>
    </row>
    <row r="10" spans="1:28" s="57" customFormat="1" x14ac:dyDescent="0.55000000000000004">
      <c r="A10" s="50">
        <v>114</v>
      </c>
      <c r="B10" s="51">
        <v>3</v>
      </c>
      <c r="C10" s="51" t="s">
        <v>37</v>
      </c>
      <c r="D10" s="51" t="s">
        <v>38</v>
      </c>
      <c r="E10" s="52">
        <f>IFERROR(VLOOKUP($A10,'CNA Sample'!$A:$M,13,FALSE),0)</f>
        <v>19.728219333976234</v>
      </c>
      <c r="F10" s="53">
        <f>IFERROR(VLOOKUP($A10,'CNA Sample'!$A:$M,12,FALSE),0)</f>
        <v>19.339986987229416</v>
      </c>
      <c r="G10" s="54">
        <f>IFERROR(VLOOKUP($A10,'CNA Sample'!$A:$O,15,FALSE)/VLOOKUP($A10,'CNA Sample'!$A:$O,9,FALSE),0)</f>
        <v>0.53846153846153844</v>
      </c>
      <c r="H10" s="55">
        <v>1.5647388302722418</v>
      </c>
      <c r="I10" s="52">
        <f>IFERROR(VLOOKUP($A10,'Dietary Sample'!$A:$AA,27,FALSE),0)</f>
        <v>0</v>
      </c>
      <c r="J10" s="52">
        <f>IFERROR(VLOOKUP($A10,'Dietary Sample'!$A:$AA,26,FALSE),0)</f>
        <v>0</v>
      </c>
      <c r="K10" s="54">
        <f>IFERROR(VLOOKUP($A10,'Dietary Sample'!$A:$AM,35,FALSE)/VLOOKUP($A10,'Dietary Sample'!$A:$AM,18,FALSE),0)</f>
        <v>0</v>
      </c>
      <c r="L10" s="55">
        <v>0</v>
      </c>
      <c r="M10" s="52">
        <f>IFERROR(VLOOKUP($A10,'Dietary Sample'!$A:$AA,23,FALSE),0)</f>
        <v>0</v>
      </c>
      <c r="N10" s="52">
        <f>IFERROR(VLOOKUP($A10,'Dietary Sample'!$A:$AA,22,FALSE),0)</f>
        <v>0</v>
      </c>
      <c r="O10" s="56">
        <f>IFERROR(VLOOKUP($A10,'Dietary Sample'!$A:$AM,30,FALSE)/VLOOKUP($A10,'Dietary Sample'!$A:$AM,17,FALSE),0)</f>
        <v>0</v>
      </c>
      <c r="P10" s="55">
        <v>0</v>
      </c>
      <c r="Q10" s="52">
        <f>IFERROR(VLOOKUP($A10,'Housekeeping Sample'!$A:$O,15,FALSE),0)</f>
        <v>15.910061156281627</v>
      </c>
      <c r="R10" s="52">
        <f>IFERROR(VLOOKUP($A10,'Housekeeping Sample'!$A:$O,14,FALSE),0)</f>
        <v>15.910061156281627</v>
      </c>
      <c r="S10" s="56">
        <f>IFERROR(VLOOKUP($A10,'Housekeeping Sample'!$A:$P,16,FALSE)/VLOOKUP($A10,'Housekeeping Sample'!$A:$P,11,FALSE),0)</f>
        <v>0.5</v>
      </c>
      <c r="T10" s="55">
        <v>0.41012114107073078</v>
      </c>
      <c r="U10" s="52">
        <f>IFERROR(VLOOKUP($A10,'Activities Sample'!$A:$M,13,FALSE),0)</f>
        <v>0</v>
      </c>
      <c r="V10" s="52">
        <f>IFERROR(VLOOKUP($A10,'Activities Sample'!$A:$M,12,FALSE),0)</f>
        <v>0</v>
      </c>
      <c r="W10" s="56">
        <f>IFERROR(VLOOKUP($A10,'Activities Sample'!$A:$O,15,FALSE)/VLOOKUP($A10,'Activities Sample'!$A:$O,9,FALSE),0)</f>
        <v>0</v>
      </c>
      <c r="X10" s="55">
        <v>0</v>
      </c>
    </row>
    <row r="11" spans="1:28" s="57" customFormat="1" x14ac:dyDescent="0.55000000000000004">
      <c r="A11" s="50">
        <v>122</v>
      </c>
      <c r="B11" s="51">
        <v>3</v>
      </c>
      <c r="C11" s="51" t="s">
        <v>37</v>
      </c>
      <c r="D11" s="51" t="s">
        <v>38</v>
      </c>
      <c r="E11" s="52">
        <f>IFERROR(VLOOKUP($A11,'CNA Sample'!$A:$M,13,FALSE),0)</f>
        <v>0</v>
      </c>
      <c r="F11" s="53">
        <f>IFERROR(VLOOKUP($A11,'CNA Sample'!$A:$M,12,FALSE),0)</f>
        <v>0</v>
      </c>
      <c r="G11" s="54">
        <f>IFERROR(VLOOKUP($A11,'CNA Sample'!$A:$O,15,FALSE)/VLOOKUP($A11,'CNA Sample'!$A:$O,9,FALSE),0)</f>
        <v>0</v>
      </c>
      <c r="H11" s="55">
        <v>0</v>
      </c>
      <c r="I11" s="52">
        <f>IFERROR(VLOOKUP($A11,'Dietary Sample'!$A:$AA,27,FALSE),0)</f>
        <v>0</v>
      </c>
      <c r="J11" s="52">
        <f>IFERROR(VLOOKUP($A11,'Dietary Sample'!$A:$AA,26,FALSE),0)</f>
        <v>0</v>
      </c>
      <c r="K11" s="54">
        <f>IFERROR(VLOOKUP($A11,'Dietary Sample'!$A:$AM,35,FALSE)/VLOOKUP($A11,'Dietary Sample'!$A:$AM,18,FALSE),0)</f>
        <v>0</v>
      </c>
      <c r="L11" s="55">
        <v>0</v>
      </c>
      <c r="M11" s="52">
        <f>IFERROR(VLOOKUP($A11,'Dietary Sample'!$A:$AA,23,FALSE),0)</f>
        <v>0</v>
      </c>
      <c r="N11" s="52">
        <f>IFERROR(VLOOKUP($A11,'Dietary Sample'!$A:$AA,22,FALSE),0)</f>
        <v>0</v>
      </c>
      <c r="O11" s="56">
        <f>IFERROR(VLOOKUP($A11,'Dietary Sample'!$A:$AM,30,FALSE)/VLOOKUP($A11,'Dietary Sample'!$A:$AM,17,FALSE),0)</f>
        <v>0</v>
      </c>
      <c r="P11" s="55">
        <v>0</v>
      </c>
      <c r="Q11" s="52">
        <f>IFERROR(VLOOKUP($A11,'Housekeeping Sample'!$A:$O,15,FALSE),0)</f>
        <v>0</v>
      </c>
      <c r="R11" s="52">
        <f>IFERROR(VLOOKUP($A11,'Housekeeping Sample'!$A:$O,14,FALSE),0)</f>
        <v>0</v>
      </c>
      <c r="S11" s="56">
        <f>IFERROR(VLOOKUP($A11,'Housekeeping Sample'!$A:$P,16,FALSE)/VLOOKUP($A11,'Housekeeping Sample'!$A:$P,11,FALSE),0)</f>
        <v>0</v>
      </c>
      <c r="T11" s="55">
        <v>0</v>
      </c>
      <c r="U11" s="52">
        <f>IFERROR(VLOOKUP($A11,'Activities Sample'!$A:$M,13,FALSE),0)</f>
        <v>20.14</v>
      </c>
      <c r="V11" s="52">
        <f>IFERROR(VLOOKUP($A11,'Activities Sample'!$A:$M,12,FALSE),0)</f>
        <v>18.25</v>
      </c>
      <c r="W11" s="56">
        <f>IFERROR(VLOOKUP($A11,'Activities Sample'!$A:$O,15,FALSE)/VLOOKUP($A11,'Activities Sample'!$A:$O,9,FALSE),0)</f>
        <v>0.625</v>
      </c>
      <c r="X11" s="55">
        <v>0.35160763789931859</v>
      </c>
    </row>
    <row r="12" spans="1:28" s="57" customFormat="1" x14ac:dyDescent="0.55000000000000004">
      <c r="A12" s="50">
        <v>142</v>
      </c>
      <c r="B12" s="51">
        <v>2</v>
      </c>
      <c r="C12" s="51" t="s">
        <v>39</v>
      </c>
      <c r="D12" s="51" t="s">
        <v>40</v>
      </c>
      <c r="E12" s="52">
        <f>IFERROR(VLOOKUP($A12,'CNA Sample'!$A:$M,13,FALSE),0)</f>
        <v>20.349999999999998</v>
      </c>
      <c r="F12" s="53">
        <f>IFERROR(VLOOKUP($A12,'CNA Sample'!$A:$M,12,FALSE),0)</f>
        <v>19.957599999999999</v>
      </c>
      <c r="G12" s="54">
        <f>IFERROR(VLOOKUP($A12,'CNA Sample'!$A:$O,15,FALSE)/VLOOKUP($A12,'CNA Sample'!$A:$O,9,FALSE),0)</f>
        <v>0.58823529411764708</v>
      </c>
      <c r="H12" s="55">
        <v>2.3164883331184738</v>
      </c>
      <c r="I12" s="52">
        <f>IFERROR(VLOOKUP($A12,'Dietary Sample'!$A:$AA,27,FALSE),0)</f>
        <v>20.349399999999999</v>
      </c>
      <c r="J12" s="52">
        <f>IFERROR(VLOOKUP($A12,'Dietary Sample'!$A:$AA,26,FALSE),0)</f>
        <v>20.5228</v>
      </c>
      <c r="K12" s="54">
        <f>IFERROR(VLOOKUP($A12,'Dietary Sample'!$A:$AM,35,FALSE)/VLOOKUP($A12,'Dietary Sample'!$A:$AM,18,FALSE),0)</f>
        <v>0.5</v>
      </c>
      <c r="L12" s="55">
        <v>0.601993897984616</v>
      </c>
      <c r="M12" s="52">
        <f>IFERROR(VLOOKUP($A12,'Dietary Sample'!$A:$AA,23,FALSE),0)</f>
        <v>17.555199999999999</v>
      </c>
      <c r="N12" s="52">
        <f>IFERROR(VLOOKUP($A12,'Dietary Sample'!$A:$AA,22,FALSE),0)</f>
        <v>17.555199999999999</v>
      </c>
      <c r="O12" s="56">
        <f>IFERROR(VLOOKUP($A12,'Dietary Sample'!$A:$AM,30,FALSE)/VLOOKUP($A12,'Dietary Sample'!$A:$AM,17,FALSE),0)</f>
        <v>0.5</v>
      </c>
      <c r="P12" s="55">
        <v>0.300996948992308</v>
      </c>
      <c r="Q12" s="52">
        <f>IFERROR(VLOOKUP($A12,'Housekeeping Sample'!$A:$O,15,FALSE),0)</f>
        <v>16.95825</v>
      </c>
      <c r="R12" s="52">
        <f>IFERROR(VLOOKUP($A12,'Housekeeping Sample'!$A:$O,14,FALSE),0)</f>
        <v>16.8</v>
      </c>
      <c r="S12" s="56">
        <f>IFERROR(VLOOKUP($A12,'Housekeeping Sample'!$A:$P,16,FALSE)/VLOOKUP($A12,'Housekeeping Sample'!$A:$P,11,FALSE),0)</f>
        <v>0.25</v>
      </c>
      <c r="T12" s="55">
        <v>0.83821064844656434</v>
      </c>
      <c r="U12" s="52">
        <f>IFERROR(VLOOKUP($A12,'Activities Sample'!$A:$M,13,FALSE),0)</f>
        <v>16.95</v>
      </c>
      <c r="V12" s="52">
        <f>IFERROR(VLOOKUP($A12,'Activities Sample'!$A:$M,12,FALSE),0)</f>
        <v>16.95</v>
      </c>
      <c r="W12" s="56">
        <f>IFERROR(VLOOKUP($A12,'Activities Sample'!$A:$O,15,FALSE)/VLOOKUP($A12,'Activities Sample'!$A:$O,9,FALSE),0)</f>
        <v>0</v>
      </c>
      <c r="X12" s="55">
        <v>0.30056722959907178</v>
      </c>
    </row>
    <row r="13" spans="1:28" s="57" customFormat="1" x14ac:dyDescent="0.55000000000000004">
      <c r="A13" s="50">
        <v>143</v>
      </c>
      <c r="B13" s="51">
        <v>1</v>
      </c>
      <c r="C13" s="51" t="s">
        <v>41</v>
      </c>
      <c r="D13" s="51" t="s">
        <v>40</v>
      </c>
      <c r="E13" s="52">
        <f>IFERROR(VLOOKUP($A13,'CNA Sample'!$A:$M,13,FALSE),0)</f>
        <v>0</v>
      </c>
      <c r="F13" s="53">
        <f>IFERROR(VLOOKUP($A13,'CNA Sample'!$A:$M,12,FALSE),0)</f>
        <v>0</v>
      </c>
      <c r="G13" s="54">
        <f>IFERROR(VLOOKUP($A13,'CNA Sample'!$A:$O,15,FALSE)/VLOOKUP($A13,'CNA Sample'!$A:$O,9,FALSE),0)</f>
        <v>0</v>
      </c>
      <c r="H13" s="55">
        <v>0</v>
      </c>
      <c r="I13" s="52">
        <f>IFERROR(VLOOKUP($A13,'Dietary Sample'!$A:$AA,27,FALSE),0)</f>
        <v>18.336666666666666</v>
      </c>
      <c r="J13" s="52">
        <f>IFERROR(VLOOKUP($A13,'Dietary Sample'!$A:$AA,26,FALSE),0)</f>
        <v>17.25</v>
      </c>
      <c r="K13" s="54">
        <f>IFERROR(VLOOKUP($A13,'Dietary Sample'!$A:$AM,35,FALSE)/VLOOKUP($A13,'Dietary Sample'!$A:$AM,18,FALSE),0)</f>
        <v>0.33333333333333331</v>
      </c>
      <c r="L13" s="55">
        <v>0.24155370536021467</v>
      </c>
      <c r="M13" s="52">
        <f>IFERROR(VLOOKUP($A13,'Dietary Sample'!$A:$AA,23,FALSE),0)</f>
        <v>15.853333333333333</v>
      </c>
      <c r="N13" s="52">
        <f>IFERROR(VLOOKUP($A13,'Dietary Sample'!$A:$AA,22,FALSE),0)</f>
        <v>15.22</v>
      </c>
      <c r="O13" s="56">
        <f>IFERROR(VLOOKUP($A13,'Dietary Sample'!$A:$AM,30,FALSE)/VLOOKUP($A13,'Dietary Sample'!$A:$AM,17,FALSE),0)</f>
        <v>0.33333333333333331</v>
      </c>
      <c r="P13" s="55">
        <v>0.7246611160806441</v>
      </c>
      <c r="Q13" s="52">
        <f>IFERROR(VLOOKUP($A13,'Housekeeping Sample'!$A:$O,15,FALSE),0)</f>
        <v>0</v>
      </c>
      <c r="R13" s="52">
        <f>IFERROR(VLOOKUP($A13,'Housekeeping Sample'!$A:$O,14,FALSE),0)</f>
        <v>0</v>
      </c>
      <c r="S13" s="56">
        <f>IFERROR(VLOOKUP($A13,'Housekeeping Sample'!$A:$P,16,FALSE)/VLOOKUP($A13,'Housekeeping Sample'!$A:$P,11,FALSE),0)</f>
        <v>0</v>
      </c>
      <c r="T13" s="55">
        <v>0</v>
      </c>
      <c r="U13" s="52">
        <f>IFERROR(VLOOKUP($A13,'Activities Sample'!$A:$M,13,FALSE),0)</f>
        <v>0</v>
      </c>
      <c r="V13" s="52">
        <f>IFERROR(VLOOKUP($A13,'Activities Sample'!$A:$M,12,FALSE),0)</f>
        <v>0</v>
      </c>
      <c r="W13" s="56">
        <f>IFERROR(VLOOKUP($A13,'Activities Sample'!$A:$O,15,FALSE)/VLOOKUP($A13,'Activities Sample'!$A:$O,9,FALSE),0)</f>
        <v>0</v>
      </c>
      <c r="X13" s="55">
        <v>0</v>
      </c>
    </row>
    <row r="14" spans="1:28" s="57" customFormat="1" x14ac:dyDescent="0.55000000000000004">
      <c r="A14" s="50">
        <v>145</v>
      </c>
      <c r="B14" s="58">
        <v>3</v>
      </c>
      <c r="C14" s="58" t="s">
        <v>37</v>
      </c>
      <c r="D14" s="58" t="s">
        <v>38</v>
      </c>
      <c r="E14" s="59">
        <f>IFERROR(VLOOKUP($A14,'CNA Sample'!$A:$M,13,FALSE),0)</f>
        <v>25.675163934426244</v>
      </c>
      <c r="F14" s="53">
        <f>IFERROR(VLOOKUP($A14,'CNA Sample'!$A:$M,12,FALSE),0)</f>
        <v>25.14</v>
      </c>
      <c r="G14" s="60">
        <f>IFERROR(VLOOKUP($A14,'CNA Sample'!$A:$O,15,FALSE)/VLOOKUP($A14,'CNA Sample'!$A:$O,9,FALSE),0)</f>
        <v>0.60655737704918034</v>
      </c>
      <c r="H14" s="55">
        <v>2.4046541693600516</v>
      </c>
      <c r="I14" s="52">
        <f>IFERROR(VLOOKUP($A14,'Dietary Sample'!$A:$AA,27,FALSE),0)</f>
        <v>22.583333333333332</v>
      </c>
      <c r="J14" s="52">
        <f>IFERROR(VLOOKUP($A14,'Dietary Sample'!$A:$AA,26,FALSE),0)</f>
        <v>22.55</v>
      </c>
      <c r="K14" s="54">
        <f>IFERROR(VLOOKUP($A14,'Dietary Sample'!$A:$AM,35,FALSE)/VLOOKUP($A14,'Dietary Sample'!$A:$AM,18,FALSE),0)</f>
        <v>0.33333333333333331</v>
      </c>
      <c r="L14" s="55">
        <v>0.13703633827472836</v>
      </c>
      <c r="M14" s="52">
        <f>IFERROR(VLOOKUP($A14,'Dietary Sample'!$A:$AA,23,FALSE),0)</f>
        <v>18.55125</v>
      </c>
      <c r="N14" s="52">
        <f>IFERROR(VLOOKUP($A14,'Dietary Sample'!$A:$AA,22,FALSE),0)</f>
        <v>18.064999999999998</v>
      </c>
      <c r="O14" s="56">
        <f>IFERROR(VLOOKUP($A14,'Dietary Sample'!$A:$AM,30,FALSE)/VLOOKUP($A14,'Dietary Sample'!$A:$AM,17,FALSE),0)</f>
        <v>0.5</v>
      </c>
      <c r="P14" s="55">
        <v>0.73086047079855121</v>
      </c>
      <c r="Q14" s="52">
        <f>IFERROR(VLOOKUP($A14,'Housekeeping Sample'!$A:$O,15,FALSE),0)</f>
        <v>17.737500000000001</v>
      </c>
      <c r="R14" s="52">
        <f>IFERROR(VLOOKUP($A14,'Housekeeping Sample'!$A:$O,14,FALSE),0)</f>
        <v>17.255000000000003</v>
      </c>
      <c r="S14" s="56">
        <f>IFERROR(VLOOKUP($A14,'Housekeeping Sample'!$A:$P,16,FALSE)/VLOOKUP($A14,'Housekeeping Sample'!$A:$P,11,FALSE),0)</f>
        <v>0.5</v>
      </c>
      <c r="T14" s="55">
        <v>0.41526120937885641</v>
      </c>
      <c r="U14" s="52">
        <f>IFERROR(VLOOKUP($A14,'Activities Sample'!$A:$M,13,FALSE),0)</f>
        <v>24.5</v>
      </c>
      <c r="V14" s="52">
        <f>IFERROR(VLOOKUP($A14,'Activities Sample'!$A:$M,12,FALSE),0)</f>
        <v>24.5</v>
      </c>
      <c r="W14" s="56">
        <f>IFERROR(VLOOKUP($A14,'Activities Sample'!$A:$O,15,FALSE)/VLOOKUP($A14,'Activities Sample'!$A:$O,9,FALSE),0)</f>
        <v>0.5</v>
      </c>
      <c r="X14" s="55">
        <v>0.19069166127989656</v>
      </c>
    </row>
    <row r="15" spans="1:28" s="57" customFormat="1" x14ac:dyDescent="0.55000000000000004">
      <c r="A15" s="50">
        <v>156</v>
      </c>
      <c r="B15" s="51">
        <v>2</v>
      </c>
      <c r="C15" s="51" t="s">
        <v>42</v>
      </c>
      <c r="D15" s="51" t="s">
        <v>40</v>
      </c>
      <c r="E15" s="52">
        <f>IFERROR(VLOOKUP($A15,'CNA Sample'!$A:$M,13,FALSE),0)</f>
        <v>21.407586206896553</v>
      </c>
      <c r="F15" s="53">
        <f>IFERROR(VLOOKUP($A15,'CNA Sample'!$A:$M,12,FALSE),0)</f>
        <v>20.6</v>
      </c>
      <c r="G15" s="54">
        <f>IFERROR(VLOOKUP($A15,'CNA Sample'!$A:$O,15,FALSE)/VLOOKUP($A15,'CNA Sample'!$A:$O,9,FALSE),0)</f>
        <v>0.55172413793103448</v>
      </c>
      <c r="H15" s="55">
        <v>2.7604203461674319</v>
      </c>
      <c r="I15" s="52">
        <f>IFERROR(VLOOKUP($A15,'Dietary Sample'!$A:$AA,27,FALSE),0)</f>
        <v>19.619999999999997</v>
      </c>
      <c r="J15" s="52">
        <f>IFERROR(VLOOKUP($A15,'Dietary Sample'!$A:$AA,26,FALSE),0)</f>
        <v>20.8</v>
      </c>
      <c r="K15" s="54">
        <f>IFERROR(VLOOKUP($A15,'Dietary Sample'!$A:$AM,35,FALSE)/VLOOKUP($A15,'Dietary Sample'!$A:$AM,18,FALSE),0)</f>
        <v>0.5</v>
      </c>
      <c r="L15" s="55">
        <v>0.36360826563051923</v>
      </c>
      <c r="M15" s="52">
        <f>IFERROR(VLOOKUP($A15,'Dietary Sample'!$A:$AA,23,FALSE),0)</f>
        <v>19.696666666666669</v>
      </c>
      <c r="N15" s="52">
        <f>IFERROR(VLOOKUP($A15,'Dietary Sample'!$A:$AA,22,FALSE),0)</f>
        <v>18.350000000000001</v>
      </c>
      <c r="O15" s="56">
        <f>IFERROR(VLOOKUP($A15,'Dietary Sample'!$A:$AM,30,FALSE)/VLOOKUP($A15,'Dietary Sample'!$A:$AM,17,FALSE),0)</f>
        <v>0.5</v>
      </c>
      <c r="P15" s="55">
        <v>0.36360826563051923</v>
      </c>
      <c r="Q15" s="52">
        <f>IFERROR(VLOOKUP($A15,'Housekeeping Sample'!$A:$O,15,FALSE),0)</f>
        <v>0</v>
      </c>
      <c r="R15" s="52">
        <f>IFERROR(VLOOKUP($A15,'Housekeeping Sample'!$A:$O,14,FALSE),0)</f>
        <v>0</v>
      </c>
      <c r="S15" s="56">
        <f>IFERROR(VLOOKUP($A15,'Housekeeping Sample'!$A:$P,16,FALSE)/VLOOKUP($A15,'Housekeeping Sample'!$A:$P,11,FALSE),0)</f>
        <v>0</v>
      </c>
      <c r="T15" s="55">
        <v>0</v>
      </c>
      <c r="U15" s="52">
        <f>IFERROR(VLOOKUP($A15,'Activities Sample'!$A:$M,13,FALSE),0)</f>
        <v>17.585000000000001</v>
      </c>
      <c r="V15" s="52">
        <f>IFERROR(VLOOKUP($A15,'Activities Sample'!$A:$M,12,FALSE),0)</f>
        <v>17.72</v>
      </c>
      <c r="W15" s="56">
        <f>IFERROR(VLOOKUP($A15,'Activities Sample'!$A:$O,15,FALSE)/VLOOKUP($A15,'Activities Sample'!$A:$O,9,FALSE),0)</f>
        <v>0.5</v>
      </c>
      <c r="X15" s="55">
        <v>0.21414694454256447</v>
      </c>
    </row>
    <row r="16" spans="1:28" s="57" customFormat="1" x14ac:dyDescent="0.55000000000000004">
      <c r="A16" s="50">
        <v>164</v>
      </c>
      <c r="B16" s="51">
        <v>1</v>
      </c>
      <c r="C16" s="51" t="s">
        <v>41</v>
      </c>
      <c r="D16" s="51" t="s">
        <v>43</v>
      </c>
      <c r="E16" s="52">
        <f>IFERROR(VLOOKUP($A16,'CNA Sample'!$A:$M,13,FALSE),0)</f>
        <v>20.881875000000015</v>
      </c>
      <c r="F16" s="53">
        <f>IFERROR(VLOOKUP($A16,'CNA Sample'!$A:$M,12,FALSE),0)</f>
        <v>20.475000000000001</v>
      </c>
      <c r="G16" s="54">
        <f>IFERROR(VLOOKUP($A16,'CNA Sample'!$A:$O,15,FALSE)/VLOOKUP($A16,'CNA Sample'!$A:$O,9,FALSE),0)</f>
        <v>0.58333333333333337</v>
      </c>
      <c r="H16" s="55">
        <v>3.4487227648384673</v>
      </c>
      <c r="I16" s="52">
        <f>IFERROR(VLOOKUP($A16,'Dietary Sample'!$A:$AA,27,FALSE),0)</f>
        <v>19.98</v>
      </c>
      <c r="J16" s="52">
        <f>IFERROR(VLOOKUP($A16,'Dietary Sample'!$A:$AA,26,FALSE),0)</f>
        <v>19.53</v>
      </c>
      <c r="K16" s="54">
        <f>IFERROR(VLOOKUP($A16,'Dietary Sample'!$A:$AM,35,FALSE)/VLOOKUP($A16,'Dietary Sample'!$A:$AM,18,FALSE),0)</f>
        <v>0.5</v>
      </c>
      <c r="L16" s="55">
        <v>0.46685032139577592</v>
      </c>
      <c r="M16" s="52">
        <f>IFERROR(VLOOKUP($A16,'Dietary Sample'!$A:$AA,23,FALSE),0)</f>
        <v>16.234285714285715</v>
      </c>
      <c r="N16" s="52">
        <f>IFERROR(VLOOKUP($A16,'Dietary Sample'!$A:$AA,22,FALSE),0)</f>
        <v>15.61</v>
      </c>
      <c r="O16" s="56">
        <f>IFERROR(VLOOKUP($A16,'Dietary Sample'!$A:$AM,30,FALSE)/VLOOKUP($A16,'Dietary Sample'!$A:$AM,17,FALSE),0)</f>
        <v>0.2857142857142857</v>
      </c>
      <c r="P16" s="55">
        <v>0.40849403122130395</v>
      </c>
      <c r="Q16" s="52">
        <f>IFERROR(VLOOKUP($A16,'Housekeeping Sample'!$A:$O,15,FALSE),0)</f>
        <v>18.387499999999999</v>
      </c>
      <c r="R16" s="52">
        <f>IFERROR(VLOOKUP($A16,'Housekeeping Sample'!$A:$O,14,FALSE),0)</f>
        <v>18.100000000000001</v>
      </c>
      <c r="S16" s="56">
        <f>IFERROR(VLOOKUP($A16,'Housekeeping Sample'!$A:$P,16,FALSE)/VLOOKUP($A16,'Housekeeping Sample'!$A:$P,11,FALSE),0)</f>
        <v>0.5</v>
      </c>
      <c r="T16" s="55">
        <v>0.25225394440270471</v>
      </c>
      <c r="U16" s="52">
        <f>IFERROR(VLOOKUP($A16,'Activities Sample'!$A:$M,13,FALSE),0)</f>
        <v>17.954999999999998</v>
      </c>
      <c r="V16" s="52">
        <f>IFERROR(VLOOKUP($A16,'Activities Sample'!$A:$M,12,FALSE),0)</f>
        <v>17.954999999999998</v>
      </c>
      <c r="W16" s="56">
        <f>IFERROR(VLOOKUP($A16,'Activities Sample'!$A:$O,15,FALSE)/VLOOKUP($A16,'Activities Sample'!$A:$O,9,FALSE),0)</f>
        <v>0.5</v>
      </c>
      <c r="X16" s="55">
        <v>0.29132231404958675</v>
      </c>
    </row>
    <row r="17" spans="1:24" s="57" customFormat="1" x14ac:dyDescent="0.55000000000000004">
      <c r="A17" s="50">
        <v>170</v>
      </c>
      <c r="B17" s="51">
        <v>1</v>
      </c>
      <c r="C17" s="51" t="s">
        <v>44</v>
      </c>
      <c r="D17" s="51" t="s">
        <v>45</v>
      </c>
      <c r="E17" s="52">
        <f>IFERROR(VLOOKUP($A17,'CNA Sample'!$A:$M,13,FALSE),0)</f>
        <v>0</v>
      </c>
      <c r="F17" s="53">
        <f>IFERROR(VLOOKUP($A17,'CNA Sample'!$A:$M,12,FALSE),0)</f>
        <v>0</v>
      </c>
      <c r="G17" s="54">
        <f>IFERROR(VLOOKUP($A17,'CNA Sample'!$A:$O,15,FALSE)/VLOOKUP($A17,'CNA Sample'!$A:$O,9,FALSE),0)</f>
        <v>0</v>
      </c>
      <c r="H17" s="55">
        <v>0</v>
      </c>
      <c r="I17" s="52">
        <f>IFERROR(VLOOKUP($A17,'Dietary Sample'!$A:$AA,27,FALSE),0)</f>
        <v>16</v>
      </c>
      <c r="J17" s="52">
        <f>IFERROR(VLOOKUP($A17,'Dietary Sample'!$A:$AA,26,FALSE),0)</f>
        <v>16</v>
      </c>
      <c r="K17" s="54">
        <f>IFERROR(VLOOKUP($A17,'Dietary Sample'!$A:$AM,35,FALSE)/VLOOKUP($A17,'Dietary Sample'!$A:$AM,18,FALSE),0)</f>
        <v>0</v>
      </c>
      <c r="L17" s="55">
        <v>0.67522151615501658</v>
      </c>
      <c r="M17" s="52">
        <f>IFERROR(VLOOKUP($A17,'Dietary Sample'!$A:$AA,23,FALSE),0)</f>
        <v>15.5</v>
      </c>
      <c r="N17" s="52">
        <f>IFERROR(VLOOKUP($A17,'Dietary Sample'!$A:$AA,22,FALSE),0)</f>
        <v>15.5</v>
      </c>
      <c r="O17" s="56">
        <f>IFERROR(VLOOKUP($A17,'Dietary Sample'!$A:$AM,30,FALSE)/VLOOKUP($A17,'Dietary Sample'!$A:$AM,17,FALSE),0)</f>
        <v>0</v>
      </c>
      <c r="P17" s="55">
        <v>0.22507383871833886</v>
      </c>
      <c r="Q17" s="52">
        <f>IFERROR(VLOOKUP($A17,'Housekeeping Sample'!$A:$O,15,FALSE),0)</f>
        <v>0</v>
      </c>
      <c r="R17" s="52">
        <f>IFERROR(VLOOKUP($A17,'Housekeeping Sample'!$A:$O,14,FALSE),0)</f>
        <v>0</v>
      </c>
      <c r="S17" s="56">
        <f>IFERROR(VLOOKUP($A17,'Housekeeping Sample'!$A:$P,16,FALSE)/VLOOKUP($A17,'Housekeeping Sample'!$A:$P,11,FALSE),0)</f>
        <v>0</v>
      </c>
      <c r="T17" s="55">
        <v>0</v>
      </c>
      <c r="U17" s="52">
        <f>IFERROR(VLOOKUP($A17,'Activities Sample'!$A:$M,13,FALSE),0)</f>
        <v>0</v>
      </c>
      <c r="V17" s="52">
        <f>IFERROR(VLOOKUP($A17,'Activities Sample'!$A:$M,12,FALSE),0)</f>
        <v>0</v>
      </c>
      <c r="W17" s="56">
        <f>IFERROR(VLOOKUP($A17,'Activities Sample'!$A:$O,15,FALSE)/VLOOKUP($A17,'Activities Sample'!$A:$O,9,FALSE),0)</f>
        <v>0</v>
      </c>
      <c r="X17" s="55">
        <v>0</v>
      </c>
    </row>
    <row r="18" spans="1:24" s="57" customFormat="1" x14ac:dyDescent="0.55000000000000004">
      <c r="A18" s="50">
        <v>173</v>
      </c>
      <c r="B18" s="51">
        <v>1</v>
      </c>
      <c r="C18" s="51" t="s">
        <v>46</v>
      </c>
      <c r="D18" s="51" t="s">
        <v>43</v>
      </c>
      <c r="E18" s="52">
        <f>IFERROR(VLOOKUP($A18,'CNA Sample'!$A:$M,13,FALSE),0)</f>
        <v>19.071794871794875</v>
      </c>
      <c r="F18" s="53">
        <f>IFERROR(VLOOKUP($A18,'CNA Sample'!$A:$M,12,FALSE),0)</f>
        <v>19.100000000000001</v>
      </c>
      <c r="G18" s="54">
        <f>IFERROR(VLOOKUP($A18,'CNA Sample'!$A:$O,15,FALSE)/VLOOKUP($A18,'CNA Sample'!$A:$O,9,FALSE),0)</f>
        <v>0.4358974358974359</v>
      </c>
      <c r="H18" s="55">
        <v>2.0013026052104208</v>
      </c>
      <c r="I18" s="52">
        <f>IFERROR(VLOOKUP($A18,'Dietary Sample'!$A:$AA,27,FALSE),0)</f>
        <v>19.537500000000001</v>
      </c>
      <c r="J18" s="52">
        <f>IFERROR(VLOOKUP($A18,'Dietary Sample'!$A:$AA,26,FALSE),0)</f>
        <v>19.424999999999997</v>
      </c>
      <c r="K18" s="54">
        <f>IFERROR(VLOOKUP($A18,'Dietary Sample'!$A:$AM,35,FALSE)/VLOOKUP($A18,'Dietary Sample'!$A:$AM,18,FALSE),0)</f>
        <v>0.5</v>
      </c>
      <c r="L18" s="55">
        <v>0.32591432865731462</v>
      </c>
      <c r="M18" s="52">
        <f>IFERROR(VLOOKUP($A18,'Dietary Sample'!$A:$AA,23,FALSE),0)</f>
        <v>18.583333333333332</v>
      </c>
      <c r="N18" s="52">
        <f>IFERROR(VLOOKUP($A18,'Dietary Sample'!$A:$AA,22,FALSE),0)</f>
        <v>18.45</v>
      </c>
      <c r="O18" s="56">
        <f>IFERROR(VLOOKUP($A18,'Dietary Sample'!$A:$AM,30,FALSE)/VLOOKUP($A18,'Dietary Sample'!$A:$AM,17,FALSE),0)</f>
        <v>0.41666666666666669</v>
      </c>
      <c r="P18" s="55">
        <v>0.97774298597194387</v>
      </c>
      <c r="Q18" s="52">
        <f>IFERROR(VLOOKUP($A18,'Housekeeping Sample'!$A:$O,15,FALSE),0)</f>
        <v>17.683333333333334</v>
      </c>
      <c r="R18" s="52">
        <f>IFERROR(VLOOKUP($A18,'Housekeeping Sample'!$A:$O,14,FALSE),0)</f>
        <v>17.100000000000001</v>
      </c>
      <c r="S18" s="56">
        <f>IFERROR(VLOOKUP($A18,'Housekeeping Sample'!$A:$P,16,FALSE)/VLOOKUP($A18,'Housekeeping Sample'!$A:$P,11,FALSE),0)</f>
        <v>0.5</v>
      </c>
      <c r="T18" s="55">
        <v>0.50681362725450907</v>
      </c>
      <c r="U18" s="52">
        <f>IFERROR(VLOOKUP($A18,'Activities Sample'!$A:$M,13,FALSE),0)</f>
        <v>20.299999999999997</v>
      </c>
      <c r="V18" s="52">
        <f>IFERROR(VLOOKUP($A18,'Activities Sample'!$A:$M,12,FALSE),0)</f>
        <v>20.65</v>
      </c>
      <c r="W18" s="56">
        <f>IFERROR(VLOOKUP($A18,'Activities Sample'!$A:$O,15,FALSE)/VLOOKUP($A18,'Activities Sample'!$A:$O,9,FALSE),0)</f>
        <v>0.5</v>
      </c>
      <c r="X18" s="55">
        <v>0.46002004008016034</v>
      </c>
    </row>
    <row r="19" spans="1:24" s="57" customFormat="1" x14ac:dyDescent="0.55000000000000004">
      <c r="A19" s="50">
        <v>174</v>
      </c>
      <c r="B19" s="51">
        <v>1</v>
      </c>
      <c r="C19" s="51" t="s">
        <v>41</v>
      </c>
      <c r="D19" s="51" t="s">
        <v>43</v>
      </c>
      <c r="E19" s="52">
        <f>IFERROR(VLOOKUP($A19,'CNA Sample'!$A:$M,13,FALSE),0)</f>
        <v>0</v>
      </c>
      <c r="F19" s="53">
        <f>IFERROR(VLOOKUP($A19,'CNA Sample'!$A:$M,12,FALSE),0)</f>
        <v>0</v>
      </c>
      <c r="G19" s="54">
        <f>IFERROR(VLOOKUP($A19,'CNA Sample'!$A:$O,15,FALSE)/VLOOKUP($A19,'CNA Sample'!$A:$O,9,FALSE),0)</f>
        <v>0</v>
      </c>
      <c r="H19" s="55">
        <v>0</v>
      </c>
      <c r="I19" s="52">
        <f>IFERROR(VLOOKUP($A19,'Dietary Sample'!$A:$AA,27,FALSE),0)</f>
        <v>0</v>
      </c>
      <c r="J19" s="52">
        <f>IFERROR(VLOOKUP($A19,'Dietary Sample'!$A:$AA,26,FALSE),0)</f>
        <v>0</v>
      </c>
      <c r="K19" s="54">
        <f>IFERROR(VLOOKUP($A19,'Dietary Sample'!$A:$AM,35,FALSE)/VLOOKUP($A19,'Dietary Sample'!$A:$AM,18,FALSE),0)</f>
        <v>0</v>
      </c>
      <c r="L19" s="55">
        <v>0</v>
      </c>
      <c r="M19" s="52">
        <f>IFERROR(VLOOKUP($A19,'Dietary Sample'!$A:$AA,23,FALSE),0)</f>
        <v>0</v>
      </c>
      <c r="N19" s="52">
        <f>IFERROR(VLOOKUP($A19,'Dietary Sample'!$A:$AA,22,FALSE),0)</f>
        <v>0</v>
      </c>
      <c r="O19" s="56">
        <f>IFERROR(VLOOKUP($A19,'Dietary Sample'!$A:$AM,30,FALSE)/VLOOKUP($A19,'Dietary Sample'!$A:$AM,17,FALSE),0)</f>
        <v>0</v>
      </c>
      <c r="P19" s="55">
        <v>0</v>
      </c>
      <c r="Q19" s="52">
        <f>IFERROR(VLOOKUP($A19,'Housekeeping Sample'!$A:$O,15,FALSE),0)</f>
        <v>0</v>
      </c>
      <c r="R19" s="52">
        <f>IFERROR(VLOOKUP($A19,'Housekeeping Sample'!$A:$O,14,FALSE),0)</f>
        <v>0</v>
      </c>
      <c r="S19" s="56">
        <f>IFERROR(VLOOKUP($A19,'Housekeeping Sample'!$A:$P,16,FALSE)/VLOOKUP($A19,'Housekeeping Sample'!$A:$P,11,FALSE),0)</f>
        <v>0</v>
      </c>
      <c r="T19" s="55">
        <v>0</v>
      </c>
      <c r="U19" s="52">
        <f>IFERROR(VLOOKUP($A19,'Activities Sample'!$A:$M,13,FALSE),0)</f>
        <v>18.759</v>
      </c>
      <c r="V19" s="52">
        <f>IFERROR(VLOOKUP($A19,'Activities Sample'!$A:$M,12,FALSE),0)</f>
        <v>18.8812</v>
      </c>
      <c r="W19" s="56">
        <f>IFERROR(VLOOKUP($A19,'Activities Sample'!$A:$O,15,FALSE)/VLOOKUP($A19,'Activities Sample'!$A:$O,9,FALSE),0)</f>
        <v>0.5</v>
      </c>
      <c r="X19" s="55">
        <v>0.43040533158527261</v>
      </c>
    </row>
    <row r="20" spans="1:24" s="57" customFormat="1" x14ac:dyDescent="0.55000000000000004">
      <c r="A20" s="50">
        <v>178</v>
      </c>
      <c r="B20" s="51">
        <v>3</v>
      </c>
      <c r="C20" s="51" t="s">
        <v>47</v>
      </c>
      <c r="D20" s="51" t="s">
        <v>43</v>
      </c>
      <c r="E20" s="52">
        <f>IFERROR(VLOOKUP($A20,'CNA Sample'!$A:$M,13,FALSE),0)</f>
        <v>19.806590909090914</v>
      </c>
      <c r="F20" s="53">
        <f>IFERROR(VLOOKUP($A20,'CNA Sample'!$A:$M,12,FALSE),0)</f>
        <v>19.32</v>
      </c>
      <c r="G20" s="54">
        <f>IFERROR(VLOOKUP($A20,'CNA Sample'!$A:$O,15,FALSE)/VLOOKUP($A20,'CNA Sample'!$A:$O,9,FALSE),0)</f>
        <v>0.63636363636363635</v>
      </c>
      <c r="H20" s="55">
        <v>2.8533486383787205</v>
      </c>
      <c r="I20" s="52">
        <f>IFERROR(VLOOKUP($A20,'Dietary Sample'!$A:$AA,27,FALSE),0)</f>
        <v>20.399999999999999</v>
      </c>
      <c r="J20" s="52">
        <f>IFERROR(VLOOKUP($A20,'Dietary Sample'!$A:$AA,26,FALSE),0)</f>
        <v>20.149999999999999</v>
      </c>
      <c r="K20" s="54">
        <f>IFERROR(VLOOKUP($A20,'Dietary Sample'!$A:$AM,35,FALSE)/VLOOKUP($A20,'Dietary Sample'!$A:$AM,18,FALSE),0)</f>
        <v>0.33333333333333331</v>
      </c>
      <c r="L20" s="55">
        <v>0.14528815706143128</v>
      </c>
      <c r="M20" s="52">
        <f>IFERROR(VLOOKUP($A20,'Dietary Sample'!$A:$AA,23,FALSE),0)</f>
        <v>16.572727272727267</v>
      </c>
      <c r="N20" s="52">
        <f>IFERROR(VLOOKUP($A20,'Dietary Sample'!$A:$AA,22,FALSE),0)</f>
        <v>16.2</v>
      </c>
      <c r="O20" s="56">
        <f>IFERROR(VLOOKUP($A20,'Dietary Sample'!$A:$AM,30,FALSE)/VLOOKUP($A20,'Dietary Sample'!$A:$AM,17,FALSE),0)</f>
        <v>0</v>
      </c>
      <c r="P20" s="55">
        <v>1.0654464851171628</v>
      </c>
      <c r="Q20" s="52">
        <f>IFERROR(VLOOKUP($A20,'Housekeeping Sample'!$A:$O,15,FALSE),0)</f>
        <v>17.22</v>
      </c>
      <c r="R20" s="52">
        <f>IFERROR(VLOOKUP($A20,'Housekeeping Sample'!$A:$O,14,FALSE),0)</f>
        <v>17.29</v>
      </c>
      <c r="S20" s="56">
        <f>IFERROR(VLOOKUP($A20,'Housekeeping Sample'!$A:$P,16,FALSE)/VLOOKUP($A20,'Housekeeping Sample'!$A:$P,11,FALSE),0)</f>
        <v>0.25</v>
      </c>
      <c r="T20" s="55">
        <v>0.30406903103229893</v>
      </c>
      <c r="U20" s="52">
        <f>IFERROR(VLOOKUP($A20,'Activities Sample'!$A:$M,13,FALSE),0)</f>
        <v>17.283333333333335</v>
      </c>
      <c r="V20" s="52">
        <f>IFERROR(VLOOKUP($A20,'Activities Sample'!$A:$M,12,FALSE),0)</f>
        <v>16.979999999999997</v>
      </c>
      <c r="W20" s="56">
        <f>IFERROR(VLOOKUP($A20,'Activities Sample'!$A:$O,15,FALSE)/VLOOKUP($A20,'Activities Sample'!$A:$O,9,FALSE),0)</f>
        <v>0.66666666666666663</v>
      </c>
      <c r="X20" s="55">
        <v>0.29282773907536414</v>
      </c>
    </row>
    <row r="21" spans="1:24" s="57" customFormat="1" x14ac:dyDescent="0.55000000000000004">
      <c r="A21" s="50">
        <v>183</v>
      </c>
      <c r="B21" s="51">
        <v>1</v>
      </c>
      <c r="C21" s="51" t="s">
        <v>41</v>
      </c>
      <c r="D21" s="51" t="s">
        <v>43</v>
      </c>
      <c r="E21" s="52">
        <f>IFERROR(VLOOKUP($A21,'CNA Sample'!$A:$M,13,FALSE),0)</f>
        <v>23.245714285714286</v>
      </c>
      <c r="F21" s="53">
        <f>IFERROR(VLOOKUP($A21,'CNA Sample'!$A:$M,12,FALSE),0)</f>
        <v>23.78</v>
      </c>
      <c r="G21" s="54">
        <f>IFERROR(VLOOKUP($A21,'CNA Sample'!$A:$O,15,FALSE)/VLOOKUP($A21,'CNA Sample'!$A:$O,9,FALSE),0)</f>
        <v>0.42857142857142855</v>
      </c>
      <c r="H21" s="55">
        <v>2.6234061930783241</v>
      </c>
      <c r="I21" s="52">
        <f>IFERROR(VLOOKUP($A21,'Dietary Sample'!$A:$AA,27,FALSE),0)</f>
        <v>20.329999999999998</v>
      </c>
      <c r="J21" s="52">
        <f>IFERROR(VLOOKUP($A21,'Dietary Sample'!$A:$AA,26,FALSE),0)</f>
        <v>20.329999999999998</v>
      </c>
      <c r="K21" s="54">
        <f>IFERROR(VLOOKUP($A21,'Dietary Sample'!$A:$AM,35,FALSE)/VLOOKUP($A21,'Dietary Sample'!$A:$AM,18,FALSE),0)</f>
        <v>0</v>
      </c>
      <c r="L21" s="55">
        <v>0.2153157255616272</v>
      </c>
      <c r="M21" s="52">
        <f>IFERROR(VLOOKUP($A21,'Dietary Sample'!$A:$AA,23,FALSE),0)</f>
        <v>18.966000000000001</v>
      </c>
      <c r="N21" s="52">
        <f>IFERROR(VLOOKUP($A21,'Dietary Sample'!$A:$AA,22,FALSE),0)</f>
        <v>18.64</v>
      </c>
      <c r="O21" s="56">
        <f>IFERROR(VLOOKUP($A21,'Dietary Sample'!$A:$AM,30,FALSE)/VLOOKUP($A21,'Dietary Sample'!$A:$AM,17,FALSE),0)</f>
        <v>0.4</v>
      </c>
      <c r="P21" s="55">
        <v>1.076578627808136</v>
      </c>
      <c r="Q21" s="52">
        <f>IFERROR(VLOOKUP($A21,'Housekeeping Sample'!$A:$O,15,FALSE),0)</f>
        <v>23.465</v>
      </c>
      <c r="R21" s="52">
        <f>IFERROR(VLOOKUP($A21,'Housekeeping Sample'!$A:$O,14,FALSE),0)</f>
        <v>22.990000000000002</v>
      </c>
      <c r="S21" s="56">
        <f>IFERROR(VLOOKUP($A21,'Housekeeping Sample'!$A:$P,16,FALSE)/VLOOKUP($A21,'Housekeeping Sample'!$A:$P,11,FALSE),0)</f>
        <v>0.5</v>
      </c>
      <c r="T21" s="55">
        <v>0.8421372191863995</v>
      </c>
      <c r="U21" s="52">
        <f>IFERROR(VLOOKUP($A21,'Activities Sample'!$A:$M,13,FALSE),0)</f>
        <v>24.53</v>
      </c>
      <c r="V21" s="52">
        <f>IFERROR(VLOOKUP($A21,'Activities Sample'!$A:$M,12,FALSE),0)</f>
        <v>24.53</v>
      </c>
      <c r="W21" s="56">
        <f>IFERROR(VLOOKUP($A21,'Activities Sample'!$A:$O,15,FALSE)/VLOOKUP($A21,'Activities Sample'!$A:$O,9,FALSE),0)</f>
        <v>0</v>
      </c>
      <c r="X21" s="55">
        <v>0.40892531876138433</v>
      </c>
    </row>
    <row r="22" spans="1:24" s="57" customFormat="1" x14ac:dyDescent="0.55000000000000004">
      <c r="A22" s="50">
        <v>184</v>
      </c>
      <c r="B22" s="51">
        <v>1</v>
      </c>
      <c r="C22" s="51" t="s">
        <v>48</v>
      </c>
      <c r="D22" s="51" t="s">
        <v>38</v>
      </c>
      <c r="E22" s="52">
        <f>IFERROR(VLOOKUP($A22,'CNA Sample'!$A:$M,13,FALSE),0)</f>
        <v>0</v>
      </c>
      <c r="F22" s="53">
        <f>IFERROR(VLOOKUP($A22,'CNA Sample'!$A:$M,12,FALSE),0)</f>
        <v>0</v>
      </c>
      <c r="G22" s="54">
        <f>IFERROR(VLOOKUP($A22,'CNA Sample'!$A:$O,15,FALSE)/VLOOKUP($A22,'CNA Sample'!$A:$O,9,FALSE),0)</f>
        <v>0</v>
      </c>
      <c r="H22" s="55">
        <v>0</v>
      </c>
      <c r="I22" s="52">
        <f>IFERROR(VLOOKUP($A22,'Dietary Sample'!$A:$AA,27,FALSE),0)</f>
        <v>0</v>
      </c>
      <c r="J22" s="52">
        <f>IFERROR(VLOOKUP($A22,'Dietary Sample'!$A:$AA,26,FALSE),0)</f>
        <v>0</v>
      </c>
      <c r="K22" s="54">
        <f>IFERROR(VLOOKUP($A22,'Dietary Sample'!$A:$AM,35,FALSE)/VLOOKUP($A22,'Dietary Sample'!$A:$AM,18,FALSE),0)</f>
        <v>0</v>
      </c>
      <c r="L22" s="55">
        <v>0</v>
      </c>
      <c r="M22" s="52">
        <f>IFERROR(VLOOKUP($A22,'Dietary Sample'!$A:$AA,23,FALSE),0)</f>
        <v>0</v>
      </c>
      <c r="N22" s="52">
        <f>IFERROR(VLOOKUP($A22,'Dietary Sample'!$A:$AA,22,FALSE),0)</f>
        <v>0</v>
      </c>
      <c r="O22" s="56">
        <f>IFERROR(VLOOKUP($A22,'Dietary Sample'!$A:$AM,30,FALSE)/VLOOKUP($A22,'Dietary Sample'!$A:$AM,17,FALSE),0)</f>
        <v>0</v>
      </c>
      <c r="P22" s="55">
        <v>0</v>
      </c>
      <c r="Q22" s="52">
        <f>IFERROR(VLOOKUP($A22,'Housekeeping Sample'!$A:$O,15,FALSE),0)</f>
        <v>15.416666666666666</v>
      </c>
      <c r="R22" s="52">
        <f>IFERROR(VLOOKUP($A22,'Housekeeping Sample'!$A:$O,14,FALSE),0)</f>
        <v>15.25</v>
      </c>
      <c r="S22" s="56">
        <f>IFERROR(VLOOKUP($A22,'Housekeeping Sample'!$A:$P,16,FALSE)/VLOOKUP($A22,'Housekeeping Sample'!$A:$P,11,FALSE),0)</f>
        <v>0.33333333333333331</v>
      </c>
      <c r="T22" s="55">
        <v>0.11568540652205991</v>
      </c>
      <c r="U22" s="52">
        <f>IFERROR(VLOOKUP($A22,'Activities Sample'!$A:$M,13,FALSE),0)</f>
        <v>0</v>
      </c>
      <c r="V22" s="52">
        <f>IFERROR(VLOOKUP($A22,'Activities Sample'!$A:$M,12,FALSE),0)</f>
        <v>0</v>
      </c>
      <c r="W22" s="56">
        <f>IFERROR(VLOOKUP($A22,'Activities Sample'!$A:$O,15,FALSE)/VLOOKUP($A22,'Activities Sample'!$A:$O,9,FALSE),0)</f>
        <v>0</v>
      </c>
      <c r="X22" s="55">
        <v>0</v>
      </c>
    </row>
    <row r="23" spans="1:24" s="57" customFormat="1" x14ac:dyDescent="0.55000000000000004">
      <c r="A23" s="50">
        <v>203</v>
      </c>
      <c r="B23" s="58">
        <v>2</v>
      </c>
      <c r="C23" s="58" t="s">
        <v>49</v>
      </c>
      <c r="D23" s="58" t="s">
        <v>43</v>
      </c>
      <c r="E23" s="59">
        <f>IFERROR(VLOOKUP($A23,'CNA Sample'!$A:$M,13,FALSE),0)</f>
        <v>20.050317460317455</v>
      </c>
      <c r="F23" s="53">
        <f>IFERROR(VLOOKUP($A23,'CNA Sample'!$A:$M,12,FALSE),0)</f>
        <v>19.38</v>
      </c>
      <c r="G23" s="60">
        <f>IFERROR(VLOOKUP($A23,'CNA Sample'!$A:$O,15,FALSE)/VLOOKUP($A23,'CNA Sample'!$A:$O,9,FALSE),0)</f>
        <v>0.66666666666666663</v>
      </c>
      <c r="H23" s="55">
        <v>2.7388129916073916</v>
      </c>
      <c r="I23" s="52">
        <f>IFERROR(VLOOKUP($A23,'Dietary Sample'!$A:$AA,27,FALSE),0)</f>
        <v>18.299999999999997</v>
      </c>
      <c r="J23" s="52">
        <f>IFERROR(VLOOKUP($A23,'Dietary Sample'!$A:$AA,26,FALSE),0)</f>
        <v>18.299999999999997</v>
      </c>
      <c r="K23" s="54">
        <f>IFERROR(VLOOKUP($A23,'Dietary Sample'!$A:$AM,35,FALSE)/VLOOKUP($A23,'Dietary Sample'!$A:$AM,18,FALSE),0)</f>
        <v>0.5</v>
      </c>
      <c r="L23" s="55">
        <v>8.7172104926423549E-2</v>
      </c>
      <c r="M23" s="52">
        <f>IFERROR(VLOOKUP($A23,'Dietary Sample'!$A:$AA,23,FALSE),0)</f>
        <v>15.260000000000002</v>
      </c>
      <c r="N23" s="52">
        <f>IFERROR(VLOOKUP($A23,'Dietary Sample'!$A:$AA,22,FALSE),0)</f>
        <v>15.15</v>
      </c>
      <c r="O23" s="56">
        <f>IFERROR(VLOOKUP($A23,'Dietary Sample'!$A:$AM,30,FALSE)/VLOOKUP($A23,'Dietary Sample'!$A:$AM,17,FALSE),0)</f>
        <v>7.1428571428571425E-2</v>
      </c>
      <c r="P23" s="55">
        <v>0.61020473448496482</v>
      </c>
      <c r="Q23" s="52">
        <f>IFERROR(VLOOKUP($A23,'Housekeeping Sample'!$A:$O,15,FALSE),0)</f>
        <v>15.31</v>
      </c>
      <c r="R23" s="52">
        <f>IFERROR(VLOOKUP($A23,'Housekeeping Sample'!$A:$O,14,FALSE),0)</f>
        <v>15.31</v>
      </c>
      <c r="S23" s="56">
        <f>IFERROR(VLOOKUP($A23,'Housekeeping Sample'!$A:$P,16,FALSE)/VLOOKUP($A23,'Housekeeping Sample'!$A:$P,11,FALSE),0)</f>
        <v>0.5</v>
      </c>
      <c r="T23" s="55">
        <v>7.0189304128561211E-2</v>
      </c>
      <c r="U23" s="52">
        <f>IFERROR(VLOOKUP($A23,'Activities Sample'!$A:$M,13,FALSE),0)</f>
        <v>0</v>
      </c>
      <c r="V23" s="52">
        <f>IFERROR(VLOOKUP($A23,'Activities Sample'!$A:$M,12,FALSE),0)</f>
        <v>0</v>
      </c>
      <c r="W23" s="56">
        <f>IFERROR(VLOOKUP($A23,'Activities Sample'!$A:$O,15,FALSE)/VLOOKUP($A23,'Activities Sample'!$A:$O,9,FALSE),0)</f>
        <v>0</v>
      </c>
      <c r="X23" s="55">
        <v>0</v>
      </c>
    </row>
    <row r="24" spans="1:24" s="57" customFormat="1" x14ac:dyDescent="0.55000000000000004">
      <c r="A24" s="50">
        <v>205</v>
      </c>
      <c r="B24" s="51">
        <v>2</v>
      </c>
      <c r="C24" s="51" t="s">
        <v>49</v>
      </c>
      <c r="D24" s="51" t="s">
        <v>38</v>
      </c>
      <c r="E24" s="52">
        <f>IFERROR(VLOOKUP($A24,'CNA Sample'!$A:$M,13,FALSE),0)</f>
        <v>18.635333333333332</v>
      </c>
      <c r="F24" s="53">
        <f>IFERROR(VLOOKUP($A24,'CNA Sample'!$A:$M,12,FALSE),0)</f>
        <v>18.295000000000002</v>
      </c>
      <c r="G24" s="54">
        <f>IFERROR(VLOOKUP($A24,'CNA Sample'!$A:$O,15,FALSE)/VLOOKUP($A24,'CNA Sample'!$A:$O,9,FALSE),0)</f>
        <v>0.56666666666666665</v>
      </c>
      <c r="H24" s="55">
        <v>2.7187562024478993</v>
      </c>
      <c r="I24" s="52">
        <f>IFERROR(VLOOKUP($A24,'Dietary Sample'!$A:$AA,27,FALSE),0)</f>
        <v>20</v>
      </c>
      <c r="J24" s="52">
        <f>IFERROR(VLOOKUP($A24,'Dietary Sample'!$A:$AA,26,FALSE),0)</f>
        <v>20</v>
      </c>
      <c r="K24" s="54">
        <f>IFERROR(VLOOKUP($A24,'Dietary Sample'!$A:$AM,35,FALSE)/VLOOKUP($A24,'Dietary Sample'!$A:$AM,18,FALSE),0)</f>
        <v>0</v>
      </c>
      <c r="L24" s="55">
        <v>0.32404895798875288</v>
      </c>
      <c r="M24" s="52">
        <f>IFERROR(VLOOKUP($A24,'Dietary Sample'!$A:$AA,23,FALSE),0)</f>
        <v>14.5</v>
      </c>
      <c r="N24" s="52">
        <f>IFERROR(VLOOKUP($A24,'Dietary Sample'!$A:$AA,22,FALSE),0)</f>
        <v>14.25</v>
      </c>
      <c r="O24" s="56">
        <f>IFERROR(VLOOKUP($A24,'Dietary Sample'!$A:$AM,30,FALSE)/VLOOKUP($A24,'Dietary Sample'!$A:$AM,17,FALSE),0)</f>
        <v>0.5</v>
      </c>
      <c r="P24" s="55">
        <v>0.81012239497188221</v>
      </c>
      <c r="Q24" s="52">
        <f>IFERROR(VLOOKUP($A24,'Housekeeping Sample'!$A:$O,15,FALSE),0)</f>
        <v>16.372857142857143</v>
      </c>
      <c r="R24" s="52">
        <f>IFERROR(VLOOKUP($A24,'Housekeeping Sample'!$A:$O,14,FALSE),0)</f>
        <v>17</v>
      </c>
      <c r="S24" s="56">
        <f>IFERROR(VLOOKUP($A24,'Housekeeping Sample'!$A:$P,16,FALSE)/VLOOKUP($A24,'Housekeeping Sample'!$A:$P,11,FALSE),0)</f>
        <v>0.42857142857142855</v>
      </c>
      <c r="T24" s="55">
        <v>0.59100231558054916</v>
      </c>
      <c r="U24" s="52">
        <f>IFERROR(VLOOKUP($A24,'Activities Sample'!$A:$M,13,FALSE),0)</f>
        <v>12.642857142857142</v>
      </c>
      <c r="V24" s="52">
        <f>IFERROR(VLOOKUP($A24,'Activities Sample'!$A:$M,12,FALSE),0)</f>
        <v>11.75</v>
      </c>
      <c r="W24" s="56">
        <f>IFERROR(VLOOKUP($A24,'Activities Sample'!$A:$O,15,FALSE)/VLOOKUP($A24,'Activities Sample'!$A:$O,9,FALSE),0)</f>
        <v>0.8571428571428571</v>
      </c>
      <c r="X24" s="55">
        <v>0.5891498511412504</v>
      </c>
    </row>
    <row r="25" spans="1:24" s="57" customFormat="1" x14ac:dyDescent="0.55000000000000004">
      <c r="A25" s="50">
        <v>206</v>
      </c>
      <c r="B25" s="58">
        <v>2</v>
      </c>
      <c r="C25" s="58" t="s">
        <v>49</v>
      </c>
      <c r="D25" s="58" t="s">
        <v>40</v>
      </c>
      <c r="E25" s="59">
        <f>IFERROR(VLOOKUP($A25,'CNA Sample'!$A:$M,13,FALSE),0)</f>
        <v>18.023333333333323</v>
      </c>
      <c r="F25" s="53">
        <f>IFERROR(VLOOKUP($A25,'CNA Sample'!$A:$M,12,FALSE),0)</f>
        <v>18.05</v>
      </c>
      <c r="G25" s="60">
        <f>IFERROR(VLOOKUP($A25,'CNA Sample'!$A:$O,15,FALSE)/VLOOKUP($A25,'CNA Sample'!$A:$O,9,FALSE),0)</f>
        <v>0.49206349206349204</v>
      </c>
      <c r="H25" s="55">
        <v>2.1714497904620447</v>
      </c>
      <c r="I25" s="52">
        <f>IFERROR(VLOOKUP($A25,'Dietary Sample'!$A:$AA,27,FALSE),0)</f>
        <v>0</v>
      </c>
      <c r="J25" s="52">
        <f>IFERROR(VLOOKUP($A25,'Dietary Sample'!$A:$AA,26,FALSE),0)</f>
        <v>0</v>
      </c>
      <c r="K25" s="54">
        <f>IFERROR(VLOOKUP($A25,'Dietary Sample'!$A:$AM,35,FALSE)/VLOOKUP($A25,'Dietary Sample'!$A:$AM,18,FALSE),0)</f>
        <v>0</v>
      </c>
      <c r="L25" s="55">
        <v>0</v>
      </c>
      <c r="M25" s="52">
        <f>IFERROR(VLOOKUP($A25,'Dietary Sample'!$A:$AA,23,FALSE),0)</f>
        <v>0</v>
      </c>
      <c r="N25" s="52">
        <f>IFERROR(VLOOKUP($A25,'Dietary Sample'!$A:$AA,22,FALSE),0)</f>
        <v>0</v>
      </c>
      <c r="O25" s="56">
        <f>IFERROR(VLOOKUP($A25,'Dietary Sample'!$A:$AM,30,FALSE)/VLOOKUP($A25,'Dietary Sample'!$A:$AM,17,FALSE),0)</f>
        <v>0</v>
      </c>
      <c r="P25" s="55">
        <v>0</v>
      </c>
      <c r="Q25" s="52">
        <f>IFERROR(VLOOKUP($A25,'Housekeeping Sample'!$A:$O,15,FALSE),0)</f>
        <v>16.758571428571429</v>
      </c>
      <c r="R25" s="52">
        <f>IFERROR(VLOOKUP($A25,'Housekeeping Sample'!$A:$O,14,FALSE),0)</f>
        <v>16.82</v>
      </c>
      <c r="S25" s="56">
        <f>IFERROR(VLOOKUP($A25,'Housekeeping Sample'!$A:$P,16,FALSE)/VLOOKUP($A25,'Housekeeping Sample'!$A:$P,11,FALSE),0)</f>
        <v>0.2857142857142857</v>
      </c>
      <c r="T25" s="55">
        <v>0.53185507400137921</v>
      </c>
      <c r="U25" s="52">
        <f>IFERROR(VLOOKUP($A25,'Activities Sample'!$A:$M,13,FALSE),0)</f>
        <v>17.785714285714285</v>
      </c>
      <c r="V25" s="52">
        <f>IFERROR(VLOOKUP($A25,'Activities Sample'!$A:$M,12,FALSE),0)</f>
        <v>17.52</v>
      </c>
      <c r="W25" s="56">
        <f>IFERROR(VLOOKUP($A25,'Activities Sample'!$A:$O,15,FALSE)/VLOOKUP($A25,'Activities Sample'!$A:$O,9,FALSE),0)</f>
        <v>0.7142857142857143</v>
      </c>
      <c r="X25" s="55">
        <v>0.44910084345658058</v>
      </c>
    </row>
    <row r="26" spans="1:24" s="57" customFormat="1" x14ac:dyDescent="0.55000000000000004">
      <c r="A26" s="50">
        <v>212</v>
      </c>
      <c r="B26" s="51">
        <v>3</v>
      </c>
      <c r="C26" s="51" t="s">
        <v>47</v>
      </c>
      <c r="D26" s="51" t="s">
        <v>43</v>
      </c>
      <c r="E26" s="52">
        <f>IFERROR(VLOOKUP($A26,'CNA Sample'!$A:$M,13,FALSE),0)</f>
        <v>20.500833333333333</v>
      </c>
      <c r="F26" s="53">
        <f>IFERROR(VLOOKUP($A26,'CNA Sample'!$A:$M,12,FALSE),0)</f>
        <v>19.619999999999997</v>
      </c>
      <c r="G26" s="54">
        <f>IFERROR(VLOOKUP($A26,'CNA Sample'!$A:$O,15,FALSE)/VLOOKUP($A26,'CNA Sample'!$A:$O,9,FALSE),0)</f>
        <v>0.625</v>
      </c>
      <c r="H26" s="55">
        <v>2.652277904328018</v>
      </c>
      <c r="I26" s="52">
        <f>IFERROR(VLOOKUP($A26,'Dietary Sample'!$A:$AA,27,FALSE),0)</f>
        <v>18.015000000000001</v>
      </c>
      <c r="J26" s="52">
        <f>IFERROR(VLOOKUP($A26,'Dietary Sample'!$A:$AA,26,FALSE),0)</f>
        <v>17.96</v>
      </c>
      <c r="K26" s="54">
        <f>IFERROR(VLOOKUP($A26,'Dietary Sample'!$A:$AM,35,FALSE)/VLOOKUP($A26,'Dietary Sample'!$A:$AM,18,FALSE),0)</f>
        <v>0.5</v>
      </c>
      <c r="L26" s="55">
        <v>0.30294229309035686</v>
      </c>
      <c r="M26" s="52">
        <f>IFERROR(VLOOKUP($A26,'Dietary Sample'!$A:$AA,23,FALSE),0)</f>
        <v>14.238750000000001</v>
      </c>
      <c r="N26" s="52">
        <f>IFERROR(VLOOKUP($A26,'Dietary Sample'!$A:$AA,22,FALSE),0)</f>
        <v>14</v>
      </c>
      <c r="O26" s="56">
        <f>IFERROR(VLOOKUP($A26,'Dietary Sample'!$A:$AM,30,FALSE)/VLOOKUP($A26,'Dietary Sample'!$A:$AM,17,FALSE),0)</f>
        <v>0</v>
      </c>
      <c r="P26" s="55">
        <v>0.60588458618071372</v>
      </c>
      <c r="Q26" s="52">
        <f>IFERROR(VLOOKUP($A26,'Housekeeping Sample'!$A:$O,15,FALSE),0)</f>
        <v>16.475714285714286</v>
      </c>
      <c r="R26" s="52">
        <f>IFERROR(VLOOKUP($A26,'Housekeeping Sample'!$A:$O,14,FALSE),0)</f>
        <v>14.95</v>
      </c>
      <c r="S26" s="56">
        <f>IFERROR(VLOOKUP($A26,'Housekeeping Sample'!$A:$P,16,FALSE)/VLOOKUP($A26,'Housekeeping Sample'!$A:$P,11,FALSE),0)</f>
        <v>0.42857142857142855</v>
      </c>
      <c r="T26" s="55">
        <v>0.44145785876993165</v>
      </c>
      <c r="U26" s="52">
        <f>IFERROR(VLOOKUP($A26,'Activities Sample'!$A:$M,13,FALSE),0)</f>
        <v>17.537500000000001</v>
      </c>
      <c r="V26" s="52">
        <f>IFERROR(VLOOKUP($A26,'Activities Sample'!$A:$M,12,FALSE),0)</f>
        <v>18.344999999999999</v>
      </c>
      <c r="W26" s="56">
        <f>IFERROR(VLOOKUP($A26,'Activities Sample'!$A:$O,15,FALSE)/VLOOKUP($A26,'Activities Sample'!$A:$O,9,FALSE),0)</f>
        <v>0.25</v>
      </c>
      <c r="X26" s="55">
        <v>0.50187927107061503</v>
      </c>
    </row>
    <row r="27" spans="1:24" s="57" customFormat="1" x14ac:dyDescent="0.55000000000000004">
      <c r="A27" s="50">
        <v>218</v>
      </c>
      <c r="B27" s="51">
        <v>2</v>
      </c>
      <c r="C27" s="51" t="s">
        <v>37</v>
      </c>
      <c r="D27" s="51" t="s">
        <v>45</v>
      </c>
      <c r="E27" s="52">
        <f>IFERROR(VLOOKUP($A27,'CNA Sample'!$A:$M,13,FALSE),0)</f>
        <v>22.657142857142858</v>
      </c>
      <c r="F27" s="53">
        <f>IFERROR(VLOOKUP($A27,'CNA Sample'!$A:$M,12,FALSE),0)</f>
        <v>23</v>
      </c>
      <c r="G27" s="54">
        <f>IFERROR(VLOOKUP($A27,'CNA Sample'!$A:$O,15,FALSE)/VLOOKUP($A27,'CNA Sample'!$A:$O,9,FALSE),0)</f>
        <v>0.48571428571428571</v>
      </c>
      <c r="H27" s="55">
        <v>2.7462411347517732</v>
      </c>
      <c r="I27" s="52">
        <f>IFERROR(VLOOKUP($A27,'Dietary Sample'!$A:$AA,27,FALSE),0)</f>
        <v>21.5</v>
      </c>
      <c r="J27" s="52">
        <f>IFERROR(VLOOKUP($A27,'Dietary Sample'!$A:$AA,26,FALSE),0)</f>
        <v>21.5</v>
      </c>
      <c r="K27" s="54">
        <f>IFERROR(VLOOKUP($A27,'Dietary Sample'!$A:$AM,35,FALSE)/VLOOKUP($A27,'Dietary Sample'!$A:$AM,18,FALSE),0)</f>
        <v>0</v>
      </c>
      <c r="L27" s="55">
        <v>0.14552600472813237</v>
      </c>
      <c r="M27" s="52">
        <f>IFERROR(VLOOKUP($A27,'Dietary Sample'!$A:$AA,23,FALSE),0)</f>
        <v>19.071428571428573</v>
      </c>
      <c r="N27" s="52">
        <f>IFERROR(VLOOKUP($A27,'Dietary Sample'!$A:$AA,22,FALSE),0)</f>
        <v>18</v>
      </c>
      <c r="O27" s="56">
        <f>IFERROR(VLOOKUP($A27,'Dietary Sample'!$A:$AM,30,FALSE)/VLOOKUP($A27,'Dietary Sample'!$A:$AM,17,FALSE),0)</f>
        <v>0</v>
      </c>
      <c r="P27" s="55">
        <v>1.0186820330969266</v>
      </c>
      <c r="Q27" s="52">
        <f>IFERROR(VLOOKUP($A27,'Housekeeping Sample'!$A:$O,15,FALSE),0)</f>
        <v>17.545454545454547</v>
      </c>
      <c r="R27" s="52">
        <f>IFERROR(VLOOKUP($A27,'Housekeeping Sample'!$A:$O,14,FALSE),0)</f>
        <v>17</v>
      </c>
      <c r="S27" s="56">
        <f>IFERROR(VLOOKUP($A27,'Housekeeping Sample'!$A:$P,16,FALSE)/VLOOKUP($A27,'Housekeeping Sample'!$A:$P,11,FALSE),0)</f>
        <v>0</v>
      </c>
      <c r="T27" s="55">
        <v>0.72401891252955086</v>
      </c>
      <c r="U27" s="52">
        <f>IFERROR(VLOOKUP($A27,'Activities Sample'!$A:$M,13,FALSE),0)</f>
        <v>21.4</v>
      </c>
      <c r="V27" s="52">
        <f>IFERROR(VLOOKUP($A27,'Activities Sample'!$A:$M,12,FALSE),0)</f>
        <v>20</v>
      </c>
      <c r="W27" s="56">
        <f>IFERROR(VLOOKUP($A27,'Activities Sample'!$A:$O,15,FALSE)/VLOOKUP($A27,'Activities Sample'!$A:$O,9,FALSE),0)</f>
        <v>0.6</v>
      </c>
      <c r="X27" s="55">
        <v>0.25460992907801416</v>
      </c>
    </row>
    <row r="28" spans="1:24" s="57" customFormat="1" x14ac:dyDescent="0.55000000000000004">
      <c r="A28" s="50">
        <v>222</v>
      </c>
      <c r="B28" s="51">
        <v>3</v>
      </c>
      <c r="C28" s="51" t="s">
        <v>50</v>
      </c>
      <c r="D28" s="51" t="s">
        <v>45</v>
      </c>
      <c r="E28" s="52">
        <f>IFERROR(VLOOKUP($A28,'CNA Sample'!$A:$M,13,FALSE),0)</f>
        <v>19.66090909090909</v>
      </c>
      <c r="F28" s="53">
        <f>IFERROR(VLOOKUP($A28,'CNA Sample'!$A:$M,12,FALSE),0)</f>
        <v>20.04</v>
      </c>
      <c r="G28" s="54">
        <f>IFERROR(VLOOKUP($A28,'CNA Sample'!$A:$O,15,FALSE)/VLOOKUP($A28,'CNA Sample'!$A:$O,9,FALSE),0)</f>
        <v>0.45454545454545453</v>
      </c>
      <c r="H28" s="55">
        <v>2.016026490066225</v>
      </c>
      <c r="I28" s="52">
        <f>IFERROR(VLOOKUP($A28,'Dietary Sample'!$A:$AA,27,FALSE),0)</f>
        <v>15.785</v>
      </c>
      <c r="J28" s="52">
        <f>IFERROR(VLOOKUP($A28,'Dietary Sample'!$A:$AA,26,FALSE),0)</f>
        <v>15.690000000000001</v>
      </c>
      <c r="K28" s="54">
        <f>IFERROR(VLOOKUP($A28,'Dietary Sample'!$A:$AM,35,FALSE)/VLOOKUP($A28,'Dietary Sample'!$A:$AM,18,FALSE),0)</f>
        <v>0.5</v>
      </c>
      <c r="L28" s="55">
        <v>0.94770860927152323</v>
      </c>
      <c r="M28" s="52">
        <f>IFERROR(VLOOKUP($A28,'Dietary Sample'!$A:$AA,23,FALSE),0)</f>
        <v>0</v>
      </c>
      <c r="N28" s="52">
        <f>IFERROR(VLOOKUP($A28,'Dietary Sample'!$A:$AA,22,FALSE),0)</f>
        <v>0</v>
      </c>
      <c r="O28" s="56">
        <f>IFERROR(VLOOKUP($A28,'Dietary Sample'!$A:$AM,30,FALSE)/VLOOKUP($A28,'Dietary Sample'!$A:$AM,17,FALSE),0)</f>
        <v>0</v>
      </c>
      <c r="P28" s="55">
        <v>0.23692715231788081</v>
      </c>
      <c r="Q28" s="52">
        <f>IFERROR(VLOOKUP($A28,'Housekeeping Sample'!$A:$O,15,FALSE),0)</f>
        <v>13.745000000000001</v>
      </c>
      <c r="R28" s="52">
        <f>IFERROR(VLOOKUP($A28,'Housekeeping Sample'!$A:$O,14,FALSE),0)</f>
        <v>13.745000000000001</v>
      </c>
      <c r="S28" s="56">
        <f>IFERROR(VLOOKUP($A28,'Housekeeping Sample'!$A:$P,16,FALSE)/VLOOKUP($A28,'Housekeeping Sample'!$A:$P,11,FALSE),0)</f>
        <v>0.5</v>
      </c>
      <c r="T28" s="55">
        <v>0.37549668874172187</v>
      </c>
      <c r="U28" s="52">
        <f>IFERROR(VLOOKUP($A28,'Activities Sample'!$A:$M,13,FALSE),0)</f>
        <v>14.24</v>
      </c>
      <c r="V28" s="52">
        <f>IFERROR(VLOOKUP($A28,'Activities Sample'!$A:$M,12,FALSE),0)</f>
        <v>14.24</v>
      </c>
      <c r="W28" s="56">
        <f>IFERROR(VLOOKUP($A28,'Activities Sample'!$A:$O,15,FALSE)/VLOOKUP($A28,'Activities Sample'!$A:$O,9,FALSE),0)</f>
        <v>0.5</v>
      </c>
      <c r="X28" s="55">
        <v>0.44754966887417219</v>
      </c>
    </row>
    <row r="29" spans="1:24" s="57" customFormat="1" x14ac:dyDescent="0.55000000000000004">
      <c r="A29" s="61">
        <v>227</v>
      </c>
      <c r="B29" s="62">
        <v>2</v>
      </c>
      <c r="C29" s="62" t="s">
        <v>51</v>
      </c>
      <c r="D29" s="62" t="s">
        <v>40</v>
      </c>
      <c r="E29" s="63">
        <f>IFERROR(VLOOKUP($A29,'CNA Sample'!$A:$M,13,FALSE),0)</f>
        <v>17.126923076923077</v>
      </c>
      <c r="F29" s="64">
        <f>IFERROR(VLOOKUP($A29,'CNA Sample'!$A:$M,12,FALSE),0)</f>
        <v>16.3</v>
      </c>
      <c r="G29" s="65">
        <f>IFERROR(VLOOKUP($A29,'CNA Sample'!$A:$O,15,FALSE)/VLOOKUP($A29,'CNA Sample'!$A:$O,9,FALSE),0)</f>
        <v>0.61538461538461542</v>
      </c>
      <c r="H29" s="55">
        <v>1.529617741464838</v>
      </c>
      <c r="I29" s="52">
        <f>IFERROR(VLOOKUP($A29,'Dietary Sample'!$A:$AA,27,FALSE),0)</f>
        <v>0</v>
      </c>
      <c r="J29" s="52">
        <f>IFERROR(VLOOKUP($A29,'Dietary Sample'!$A:$AA,26,FALSE),0)</f>
        <v>0</v>
      </c>
      <c r="K29" s="54">
        <f>IFERROR(VLOOKUP($A29,'Dietary Sample'!$A:$AM,35,FALSE)/VLOOKUP($A29,'Dietary Sample'!$A:$AM,18,FALSE),0)</f>
        <v>0</v>
      </c>
      <c r="L29" s="55">
        <v>0</v>
      </c>
      <c r="M29" s="52">
        <f>IFERROR(VLOOKUP($A29,'Dietary Sample'!$A:$AA,23,FALSE),0)</f>
        <v>12.5</v>
      </c>
      <c r="N29" s="52">
        <f>IFERROR(VLOOKUP($A29,'Dietary Sample'!$A:$AA,22,FALSE),0)</f>
        <v>12.5</v>
      </c>
      <c r="O29" s="66">
        <f>IFERROR(VLOOKUP($A29,'Dietary Sample'!$A:$AM,30,FALSE)/VLOOKUP($A29,'Dietary Sample'!$A:$AM,17,FALSE),0)</f>
        <v>0</v>
      </c>
      <c r="P29" s="55">
        <v>1.3288590604026846</v>
      </c>
      <c r="Q29" s="52">
        <f>IFERROR(VLOOKUP($A29,'Housekeeping Sample'!$A:$O,15,FALSE),0)</f>
        <v>14.25</v>
      </c>
      <c r="R29" s="52">
        <f>IFERROR(VLOOKUP($A29,'Housekeeping Sample'!$A:$O,14,FALSE),0)</f>
        <v>14.25</v>
      </c>
      <c r="S29" s="66">
        <f>IFERROR(VLOOKUP($A29,'Housekeeping Sample'!$A:$P,16,FALSE)/VLOOKUP($A29,'Housekeeping Sample'!$A:$P,11,FALSE),0)</f>
        <v>0.5</v>
      </c>
      <c r="T29" s="55">
        <v>0.14016146289271472</v>
      </c>
      <c r="U29" s="52">
        <f>IFERROR(VLOOKUP($A29,'Activities Sample'!$A:$M,13,FALSE),0)</f>
        <v>13.887499999999999</v>
      </c>
      <c r="V29" s="52">
        <f>IFERROR(VLOOKUP($A29,'Activities Sample'!$A:$M,12,FALSE),0)</f>
        <v>13.68</v>
      </c>
      <c r="W29" s="56">
        <f>IFERROR(VLOOKUP($A29,'Activities Sample'!$A:$O,15,FALSE)/VLOOKUP($A29,'Activities Sample'!$A:$O,9,FALSE),0)</f>
        <v>0.5</v>
      </c>
      <c r="X29" s="55">
        <v>0.58457348506954576</v>
      </c>
    </row>
    <row r="30" spans="1:24" s="57" customFormat="1" x14ac:dyDescent="0.55000000000000004">
      <c r="A30" s="50">
        <v>234</v>
      </c>
      <c r="B30" s="51">
        <v>3</v>
      </c>
      <c r="C30" s="51" t="s">
        <v>37</v>
      </c>
      <c r="D30" s="51" t="s">
        <v>45</v>
      </c>
      <c r="E30" s="52">
        <f>IFERROR(VLOOKUP($A30,'CNA Sample'!$A:$M,13,FALSE),0)</f>
        <v>18.181818181818183</v>
      </c>
      <c r="F30" s="53">
        <f>IFERROR(VLOOKUP($A30,'CNA Sample'!$A:$M,12,FALSE),0)</f>
        <v>18.5</v>
      </c>
      <c r="G30" s="54">
        <f>IFERROR(VLOOKUP($A30,'CNA Sample'!$A:$O,15,FALSE)/VLOOKUP($A30,'CNA Sample'!$A:$O,9,FALSE),0)</f>
        <v>0.45454545454545453</v>
      </c>
      <c r="H30" s="55">
        <v>0.72858998017907184</v>
      </c>
      <c r="I30" s="52">
        <f>IFERROR(VLOOKUP($A30,'Dietary Sample'!$A:$AA,27,FALSE),0)</f>
        <v>17.649999999999999</v>
      </c>
      <c r="J30" s="52">
        <f>IFERROR(VLOOKUP($A30,'Dietary Sample'!$A:$AA,26,FALSE),0)</f>
        <v>17.5</v>
      </c>
      <c r="K30" s="54">
        <f>IFERROR(VLOOKUP($A30,'Dietary Sample'!$A:$AM,35,FALSE)/VLOOKUP($A30,'Dietary Sample'!$A:$AM,18,FALSE),0)</f>
        <v>0.4</v>
      </c>
      <c r="L30" s="55">
        <v>0.23865992299455491</v>
      </c>
      <c r="M30" s="52">
        <f>IFERROR(VLOOKUP($A30,'Dietary Sample'!$A:$AA,23,FALSE),0)</f>
        <v>16.05</v>
      </c>
      <c r="N30" s="52">
        <f>IFERROR(VLOOKUP($A30,'Dietary Sample'!$A:$AA,22,FALSE),0)</f>
        <v>16.25</v>
      </c>
      <c r="O30" s="56">
        <f>IFERROR(VLOOKUP($A30,'Dietary Sample'!$A:$AM,30,FALSE)/VLOOKUP($A30,'Dietary Sample'!$A:$AM,17,FALSE),0)</f>
        <v>0.5</v>
      </c>
      <c r="P30" s="55">
        <v>0.47731984598910981</v>
      </c>
      <c r="Q30" s="52">
        <f>IFERROR(VLOOKUP($A30,'Housekeeping Sample'!$A:$O,15,FALSE),0)</f>
        <v>16.138888888888889</v>
      </c>
      <c r="R30" s="52">
        <f>IFERROR(VLOOKUP($A30,'Housekeeping Sample'!$A:$O,14,FALSE),0)</f>
        <v>16</v>
      </c>
      <c r="S30" s="56">
        <f>IFERROR(VLOOKUP($A30,'Housekeeping Sample'!$A:$P,16,FALSE)/VLOOKUP($A30,'Housekeeping Sample'!$A:$P,11,FALSE),0)</f>
        <v>0.33333333333333331</v>
      </c>
      <c r="T30" s="55">
        <v>0.53677123914975056</v>
      </c>
      <c r="U30" s="52">
        <f>IFERROR(VLOOKUP($A30,'Activities Sample'!$A:$M,13,FALSE),0)</f>
        <v>17.5</v>
      </c>
      <c r="V30" s="52">
        <f>IFERROR(VLOOKUP($A30,'Activities Sample'!$A:$M,12,FALSE),0)</f>
        <v>17.5</v>
      </c>
      <c r="W30" s="56">
        <f>IFERROR(VLOOKUP($A30,'Activities Sample'!$A:$O,15,FALSE)/VLOOKUP($A30,'Activities Sample'!$A:$O,9,FALSE),0)</f>
        <v>0</v>
      </c>
      <c r="X30" s="55">
        <v>0.16509466201900075</v>
      </c>
    </row>
    <row r="31" spans="1:24" s="57" customFormat="1" x14ac:dyDescent="0.55000000000000004">
      <c r="A31" s="50">
        <v>235</v>
      </c>
      <c r="B31" s="51">
        <v>1</v>
      </c>
      <c r="C31" s="51" t="s">
        <v>44</v>
      </c>
      <c r="D31" s="51" t="s">
        <v>45</v>
      </c>
      <c r="E31" s="52">
        <f>IFERROR(VLOOKUP($A31,'CNA Sample'!$A:$M,13,FALSE),0)</f>
        <v>0</v>
      </c>
      <c r="F31" s="53">
        <f>IFERROR(VLOOKUP($A31,'CNA Sample'!$A:$M,12,FALSE),0)</f>
        <v>0</v>
      </c>
      <c r="G31" s="54">
        <f>IFERROR(VLOOKUP($A31,'CNA Sample'!$A:$O,15,FALSE)/VLOOKUP($A31,'CNA Sample'!$A:$O,9,FALSE),0)</f>
        <v>0</v>
      </c>
      <c r="H31" s="55">
        <v>0</v>
      </c>
      <c r="I31" s="52">
        <f>IFERROR(VLOOKUP($A31,'Dietary Sample'!$A:$AA,27,FALSE),0)</f>
        <v>0</v>
      </c>
      <c r="J31" s="52">
        <f>IFERROR(VLOOKUP($A31,'Dietary Sample'!$A:$AA,26,FALSE),0)</f>
        <v>0</v>
      </c>
      <c r="K31" s="54">
        <f>IFERROR(VLOOKUP($A31,'Dietary Sample'!$A:$AM,35,FALSE)/VLOOKUP($A31,'Dietary Sample'!$A:$AM,18,FALSE),0)</f>
        <v>0</v>
      </c>
      <c r="L31" s="55">
        <v>0</v>
      </c>
      <c r="M31" s="52">
        <f>IFERROR(VLOOKUP($A31,'Dietary Sample'!$A:$AA,23,FALSE),0)</f>
        <v>0</v>
      </c>
      <c r="N31" s="52">
        <f>IFERROR(VLOOKUP($A31,'Dietary Sample'!$A:$AA,22,FALSE),0)</f>
        <v>0</v>
      </c>
      <c r="O31" s="56">
        <f>IFERROR(VLOOKUP($A31,'Dietary Sample'!$A:$AM,30,FALSE)/VLOOKUP($A31,'Dietary Sample'!$A:$AM,17,FALSE),0)</f>
        <v>0</v>
      </c>
      <c r="P31" s="55">
        <v>0</v>
      </c>
      <c r="Q31" s="52">
        <f>IFERROR(VLOOKUP($A31,'Housekeeping Sample'!$A:$O,15,FALSE),0)</f>
        <v>0</v>
      </c>
      <c r="R31" s="52">
        <f>IFERROR(VLOOKUP($A31,'Housekeeping Sample'!$A:$O,14,FALSE),0)</f>
        <v>0</v>
      </c>
      <c r="S31" s="56">
        <f>IFERROR(VLOOKUP($A31,'Housekeeping Sample'!$A:$P,16,FALSE)/VLOOKUP($A31,'Housekeeping Sample'!$A:$P,11,FALSE),0)</f>
        <v>0</v>
      </c>
      <c r="T31" s="55">
        <v>0</v>
      </c>
      <c r="U31" s="52">
        <f>IFERROR(VLOOKUP($A31,'Activities Sample'!$A:$M,13,FALSE),0)</f>
        <v>16.356000000000002</v>
      </c>
      <c r="V31" s="52">
        <f>IFERROR(VLOOKUP($A31,'Activities Sample'!$A:$M,12,FALSE),0)</f>
        <v>16.260000000000002</v>
      </c>
      <c r="W31" s="56">
        <f>IFERROR(VLOOKUP($A31,'Activities Sample'!$A:$O,15,FALSE)/VLOOKUP($A31,'Activities Sample'!$A:$O,9,FALSE),0)</f>
        <v>0.6</v>
      </c>
      <c r="X31" s="55">
        <v>0.3974017538161741</v>
      </c>
    </row>
    <row r="32" spans="1:24" s="57" customFormat="1" x14ac:dyDescent="0.55000000000000004">
      <c r="A32" s="50">
        <v>236</v>
      </c>
      <c r="B32" s="51">
        <v>1</v>
      </c>
      <c r="C32" s="51" t="s">
        <v>41</v>
      </c>
      <c r="D32" s="51" t="s">
        <v>40</v>
      </c>
      <c r="E32" s="52">
        <f>IFERROR(VLOOKUP($A32,'CNA Sample'!$A:$M,13,FALSE),0)</f>
        <v>0</v>
      </c>
      <c r="F32" s="53">
        <f>IFERROR(VLOOKUP($A32,'CNA Sample'!$A:$M,12,FALSE),0)</f>
        <v>0</v>
      </c>
      <c r="G32" s="54">
        <f>IFERROR(VLOOKUP($A32,'CNA Sample'!$A:$O,15,FALSE)/VLOOKUP($A32,'CNA Sample'!$A:$O,9,FALSE),0)</f>
        <v>0</v>
      </c>
      <c r="H32" s="55">
        <v>0</v>
      </c>
      <c r="I32" s="52">
        <f>IFERROR(VLOOKUP($A32,'Dietary Sample'!$A:$AA,27,FALSE),0)</f>
        <v>0</v>
      </c>
      <c r="J32" s="52">
        <f>IFERROR(VLOOKUP($A32,'Dietary Sample'!$A:$AA,26,FALSE),0)</f>
        <v>0</v>
      </c>
      <c r="K32" s="54">
        <f>IFERROR(VLOOKUP($A32,'Dietary Sample'!$A:$AM,35,FALSE)/VLOOKUP($A32,'Dietary Sample'!$A:$AM,18,FALSE),0)</f>
        <v>0</v>
      </c>
      <c r="L32" s="55">
        <v>0</v>
      </c>
      <c r="M32" s="52">
        <f>IFERROR(VLOOKUP($A32,'Dietary Sample'!$A:$AA,23,FALSE),0)</f>
        <v>0</v>
      </c>
      <c r="N32" s="52">
        <f>IFERROR(VLOOKUP($A32,'Dietary Sample'!$A:$AA,22,FALSE),0)</f>
        <v>0</v>
      </c>
      <c r="O32" s="56">
        <f>IFERROR(VLOOKUP($A32,'Dietary Sample'!$A:$AM,30,FALSE)/VLOOKUP($A32,'Dietary Sample'!$A:$AM,17,FALSE),0)</f>
        <v>0</v>
      </c>
      <c r="P32" s="55">
        <v>0</v>
      </c>
      <c r="Q32" s="52">
        <f>IFERROR(VLOOKUP($A32,'Housekeeping Sample'!$A:$O,15,FALSE),0)</f>
        <v>0</v>
      </c>
      <c r="R32" s="52">
        <f>IFERROR(VLOOKUP($A32,'Housekeeping Sample'!$A:$O,14,FALSE),0)</f>
        <v>0</v>
      </c>
      <c r="S32" s="56">
        <f>IFERROR(VLOOKUP($A32,'Housekeeping Sample'!$A:$P,16,FALSE)/VLOOKUP($A32,'Housekeeping Sample'!$A:$P,11,FALSE),0)</f>
        <v>0</v>
      </c>
      <c r="T32" s="55">
        <v>0</v>
      </c>
      <c r="U32" s="52">
        <f>IFERROR(VLOOKUP($A32,'Activities Sample'!$A:$M,13,FALSE),0)</f>
        <v>16.563333333333336</v>
      </c>
      <c r="V32" s="52">
        <f>IFERROR(VLOOKUP($A32,'Activities Sample'!$A:$M,12,FALSE),0)</f>
        <v>16.23</v>
      </c>
      <c r="W32" s="56">
        <f>IFERROR(VLOOKUP($A32,'Activities Sample'!$A:$O,15,FALSE)/VLOOKUP($A32,'Activities Sample'!$A:$O,9,FALSE),0)</f>
        <v>0.66666666666666663</v>
      </c>
      <c r="X32" s="55">
        <v>0.49003644625360915</v>
      </c>
    </row>
    <row r="33" spans="1:24" s="57" customFormat="1" x14ac:dyDescent="0.55000000000000004">
      <c r="A33" s="50">
        <v>263</v>
      </c>
      <c r="B33" s="51">
        <v>3</v>
      </c>
      <c r="C33" s="51" t="s">
        <v>37</v>
      </c>
      <c r="D33" s="51" t="s">
        <v>45</v>
      </c>
      <c r="E33" s="52">
        <f>IFERROR(VLOOKUP($A33,'CNA Sample'!$A:$M,13,FALSE),0)</f>
        <v>20.534736842105257</v>
      </c>
      <c r="F33" s="53">
        <f>IFERROR(VLOOKUP($A33,'CNA Sample'!$A:$M,12,FALSE),0)</f>
        <v>21.01</v>
      </c>
      <c r="G33" s="54">
        <f>IFERROR(VLOOKUP($A33,'CNA Sample'!$A:$O,15,FALSE)/VLOOKUP($A33,'CNA Sample'!$A:$O,9,FALSE),0)</f>
        <v>0.26315789473684209</v>
      </c>
      <c r="H33" s="55">
        <v>1.7454457831325301</v>
      </c>
      <c r="I33" s="52">
        <f>IFERROR(VLOOKUP($A33,'Dietary Sample'!$A:$AA,27,FALSE),0)</f>
        <v>20.81</v>
      </c>
      <c r="J33" s="52">
        <f>IFERROR(VLOOKUP($A33,'Dietary Sample'!$A:$AA,26,FALSE),0)</f>
        <v>20.81</v>
      </c>
      <c r="K33" s="54">
        <f>IFERROR(VLOOKUP($A33,'Dietary Sample'!$A:$AM,35,FALSE)/VLOOKUP($A33,'Dietary Sample'!$A:$AM,18,FALSE),0)</f>
        <v>0</v>
      </c>
      <c r="L33" s="55">
        <v>0.26424096385542167</v>
      </c>
      <c r="M33" s="52">
        <f>IFERROR(VLOOKUP($A33,'Dietary Sample'!$A:$AA,23,FALSE),0)</f>
        <v>18.72</v>
      </c>
      <c r="N33" s="52">
        <f>IFERROR(VLOOKUP($A33,'Dietary Sample'!$A:$AA,22,FALSE),0)</f>
        <v>18.72</v>
      </c>
      <c r="O33" s="56">
        <f>IFERROR(VLOOKUP($A33,'Dietary Sample'!$A:$AM,30,FALSE)/VLOOKUP($A33,'Dietary Sample'!$A:$AM,17,FALSE),0)</f>
        <v>0</v>
      </c>
      <c r="P33" s="55">
        <v>0.52848192771084335</v>
      </c>
      <c r="Q33" s="52">
        <f>IFERROR(VLOOKUP($A33,'Housekeeping Sample'!$A:$O,15,FALSE),0)</f>
        <v>18.72</v>
      </c>
      <c r="R33" s="52">
        <f>IFERROR(VLOOKUP($A33,'Housekeeping Sample'!$A:$O,14,FALSE),0)</f>
        <v>18.72</v>
      </c>
      <c r="S33" s="56">
        <f>IFERROR(VLOOKUP($A33,'Housekeeping Sample'!$A:$P,16,FALSE)/VLOOKUP($A33,'Housekeeping Sample'!$A:$P,11,FALSE),0)</f>
        <v>0</v>
      </c>
      <c r="T33" s="55">
        <v>0.25171084337349398</v>
      </c>
      <c r="U33" s="52">
        <f>IFERROR(VLOOKUP($A33,'Activities Sample'!$A:$M,13,FALSE),0)</f>
        <v>0</v>
      </c>
      <c r="V33" s="52">
        <f>IFERROR(VLOOKUP($A33,'Activities Sample'!$A:$M,12,FALSE),0)</f>
        <v>0</v>
      </c>
      <c r="W33" s="56">
        <f>IFERROR(VLOOKUP($A33,'Activities Sample'!$A:$O,15,FALSE)/VLOOKUP($A33,'Activities Sample'!$A:$O,9,FALSE),0)</f>
        <v>0</v>
      </c>
      <c r="X33" s="55">
        <v>0</v>
      </c>
    </row>
    <row r="34" spans="1:24" s="57" customFormat="1" x14ac:dyDescent="0.55000000000000004">
      <c r="A34" s="50">
        <v>265</v>
      </c>
      <c r="B34" s="51">
        <v>3</v>
      </c>
      <c r="C34" s="51" t="s">
        <v>49</v>
      </c>
      <c r="D34" s="51" t="s">
        <v>40</v>
      </c>
      <c r="E34" s="52">
        <f>IFERROR(VLOOKUP($A34,'CNA Sample'!$A:$M,13,FALSE),0)</f>
        <v>21.375600000000009</v>
      </c>
      <c r="F34" s="53">
        <f>IFERROR(VLOOKUP($A34,'CNA Sample'!$A:$M,12,FALSE),0)</f>
        <v>21.54</v>
      </c>
      <c r="G34" s="54">
        <f>IFERROR(VLOOKUP($A34,'CNA Sample'!$A:$O,15,FALSE)/VLOOKUP($A34,'CNA Sample'!$A:$O,9,FALSE),0)</f>
        <v>0.44</v>
      </c>
      <c r="H34" s="55">
        <v>2.555267075154914</v>
      </c>
      <c r="I34" s="52">
        <f>IFERROR(VLOOKUP($A34,'Dietary Sample'!$A:$AA,27,FALSE),0)</f>
        <v>0</v>
      </c>
      <c r="J34" s="52">
        <f>IFERROR(VLOOKUP($A34,'Dietary Sample'!$A:$AA,26,FALSE),0)</f>
        <v>0</v>
      </c>
      <c r="K34" s="54">
        <f>IFERROR(VLOOKUP($A34,'Dietary Sample'!$A:$AM,35,FALSE)/VLOOKUP($A34,'Dietary Sample'!$A:$AM,18,FALSE),0)</f>
        <v>0</v>
      </c>
      <c r="L34" s="55">
        <v>0</v>
      </c>
      <c r="M34" s="52">
        <f>IFERROR(VLOOKUP($A34,'Dietary Sample'!$A:$AA,23,FALSE),0)</f>
        <v>0</v>
      </c>
      <c r="N34" s="52">
        <f>IFERROR(VLOOKUP($A34,'Dietary Sample'!$A:$AA,22,FALSE),0)</f>
        <v>0</v>
      </c>
      <c r="O34" s="56">
        <f>IFERROR(VLOOKUP($A34,'Dietary Sample'!$A:$AM,30,FALSE)/VLOOKUP($A34,'Dietary Sample'!$A:$AM,17,FALSE),0)</f>
        <v>0</v>
      </c>
      <c r="P34" s="55">
        <v>0</v>
      </c>
      <c r="Q34" s="52">
        <f>IFERROR(VLOOKUP($A34,'Housekeeping Sample'!$A:$O,15,FALSE),0)</f>
        <v>0</v>
      </c>
      <c r="R34" s="52">
        <f>IFERROR(VLOOKUP($A34,'Housekeeping Sample'!$A:$O,14,FALSE),0)</f>
        <v>0</v>
      </c>
      <c r="S34" s="56">
        <f>IFERROR(VLOOKUP($A34,'Housekeeping Sample'!$A:$P,16,FALSE)/VLOOKUP($A34,'Housekeeping Sample'!$A:$P,11,FALSE),0)</f>
        <v>0</v>
      </c>
      <c r="T34" s="55">
        <v>0</v>
      </c>
      <c r="U34" s="52">
        <f>IFERROR(VLOOKUP($A34,'Activities Sample'!$A:$M,13,FALSE),0)</f>
        <v>0</v>
      </c>
      <c r="V34" s="52">
        <f>IFERROR(VLOOKUP($A34,'Activities Sample'!$A:$M,12,FALSE),0)</f>
        <v>0</v>
      </c>
      <c r="W34" s="56">
        <f>IFERROR(VLOOKUP($A34,'Activities Sample'!$A:$O,15,FALSE)/VLOOKUP($A34,'Activities Sample'!$A:$O,9,FALSE),0)</f>
        <v>0</v>
      </c>
      <c r="X34" s="55">
        <v>0</v>
      </c>
    </row>
    <row r="35" spans="1:24" s="57" customFormat="1" x14ac:dyDescent="0.55000000000000004">
      <c r="A35" s="50">
        <v>268</v>
      </c>
      <c r="B35" s="51">
        <v>2</v>
      </c>
      <c r="C35" s="51" t="s">
        <v>49</v>
      </c>
      <c r="D35" s="51" t="s">
        <v>38</v>
      </c>
      <c r="E35" s="52">
        <f>IFERROR(VLOOKUP($A35,'CNA Sample'!$A:$M,13,FALSE),0)</f>
        <v>0</v>
      </c>
      <c r="F35" s="53">
        <f>IFERROR(VLOOKUP($A35,'CNA Sample'!$A:$M,12,FALSE),0)</f>
        <v>0</v>
      </c>
      <c r="G35" s="54">
        <f>IFERROR(VLOOKUP($A35,'CNA Sample'!$A:$O,15,FALSE)/VLOOKUP($A35,'CNA Sample'!$A:$O,9,FALSE),0)</f>
        <v>0</v>
      </c>
      <c r="H35" s="55">
        <v>0</v>
      </c>
      <c r="I35" s="52">
        <f>IFERROR(VLOOKUP($A35,'Dietary Sample'!$A:$AA,27,FALSE),0)</f>
        <v>21.196666666666665</v>
      </c>
      <c r="J35" s="52">
        <f>IFERROR(VLOOKUP($A35,'Dietary Sample'!$A:$AA,26,FALSE),0)</f>
        <v>20</v>
      </c>
      <c r="K35" s="54">
        <f>IFERROR(VLOOKUP($A35,'Dietary Sample'!$A:$AM,35,FALSE)/VLOOKUP($A35,'Dietary Sample'!$A:$AM,18,FALSE),0)</f>
        <v>0.33333333333333331</v>
      </c>
      <c r="L35" s="55">
        <v>8.5579219959398281E-2</v>
      </c>
      <c r="M35" s="52">
        <f>IFERROR(VLOOKUP($A35,'Dietary Sample'!$A:$AA,23,FALSE),0)</f>
        <v>16.294857142857143</v>
      </c>
      <c r="N35" s="52">
        <f>IFERROR(VLOOKUP($A35,'Dietary Sample'!$A:$AA,22,FALSE),0)</f>
        <v>16.05</v>
      </c>
      <c r="O35" s="56">
        <f>IFERROR(VLOOKUP($A35,'Dietary Sample'!$A:$AM,30,FALSE)/VLOOKUP($A35,'Dietary Sample'!$A:$AM,17,FALSE),0)</f>
        <v>0</v>
      </c>
      <c r="P35" s="55">
        <v>0.99842423285964665</v>
      </c>
      <c r="Q35" s="52">
        <f>IFERROR(VLOOKUP($A35,'Housekeeping Sample'!$A:$O,15,FALSE),0)</f>
        <v>18.021999999999998</v>
      </c>
      <c r="R35" s="52">
        <f>IFERROR(VLOOKUP($A35,'Housekeeping Sample'!$A:$O,14,FALSE),0)</f>
        <v>17</v>
      </c>
      <c r="S35" s="56">
        <f>IFERROR(VLOOKUP($A35,'Housekeeping Sample'!$A:$P,16,FALSE)/VLOOKUP($A35,'Housekeeping Sample'!$A:$P,11,FALSE),0)</f>
        <v>0.4</v>
      </c>
      <c r="T35" s="55">
        <v>0.39884603152968973</v>
      </c>
      <c r="U35" s="52">
        <f>IFERROR(VLOOKUP($A35,'Activities Sample'!$A:$M,13,FALSE),0)</f>
        <v>20.260000000000002</v>
      </c>
      <c r="V35" s="52">
        <f>IFERROR(VLOOKUP($A35,'Activities Sample'!$A:$M,12,FALSE),0)</f>
        <v>20.260000000000002</v>
      </c>
      <c r="W35" s="56">
        <f>IFERROR(VLOOKUP($A35,'Activities Sample'!$A:$O,15,FALSE)/VLOOKUP($A35,'Activities Sample'!$A:$O,9,FALSE),0)</f>
        <v>0</v>
      </c>
      <c r="X35" s="55">
        <v>0.24555903866248693</v>
      </c>
    </row>
    <row r="36" spans="1:24" s="57" customFormat="1" x14ac:dyDescent="0.55000000000000004">
      <c r="A36" s="50">
        <v>273</v>
      </c>
      <c r="B36" s="58">
        <v>3</v>
      </c>
      <c r="C36" s="58" t="s">
        <v>47</v>
      </c>
      <c r="D36" s="58" t="s">
        <v>38</v>
      </c>
      <c r="E36" s="59">
        <f>IFERROR(VLOOKUP($A36,'CNA Sample'!$A:$M,13,FALSE),0)</f>
        <v>0</v>
      </c>
      <c r="F36" s="53">
        <f>IFERROR(VLOOKUP($A36,'CNA Sample'!$A:$M,12,FALSE),0)</f>
        <v>0</v>
      </c>
      <c r="G36" s="60">
        <f>IFERROR(VLOOKUP($A36,'CNA Sample'!$A:$O,15,FALSE)/VLOOKUP($A36,'CNA Sample'!$A:$O,9,FALSE),0)</f>
        <v>0</v>
      </c>
      <c r="H36" s="55">
        <v>0</v>
      </c>
      <c r="I36" s="52">
        <f>IFERROR(VLOOKUP($A36,'Dietary Sample'!$A:$AA,27,FALSE),0)</f>
        <v>0</v>
      </c>
      <c r="J36" s="52">
        <f>IFERROR(VLOOKUP($A36,'Dietary Sample'!$A:$AA,26,FALSE),0)</f>
        <v>0</v>
      </c>
      <c r="K36" s="54">
        <f>IFERROR(VLOOKUP($A36,'Dietary Sample'!$A:$AM,35,FALSE)/VLOOKUP($A36,'Dietary Sample'!$A:$AM,18,FALSE),0)</f>
        <v>0</v>
      </c>
      <c r="L36" s="55">
        <v>0</v>
      </c>
      <c r="M36" s="52">
        <f>IFERROR(VLOOKUP($A36,'Dietary Sample'!$A:$AA,23,FALSE),0)</f>
        <v>0</v>
      </c>
      <c r="N36" s="52">
        <f>IFERROR(VLOOKUP($A36,'Dietary Sample'!$A:$AA,22,FALSE),0)</f>
        <v>0</v>
      </c>
      <c r="O36" s="56">
        <f>IFERROR(VLOOKUP($A36,'Dietary Sample'!$A:$AM,30,FALSE)/VLOOKUP($A36,'Dietary Sample'!$A:$AM,17,FALSE),0)</f>
        <v>0</v>
      </c>
      <c r="P36" s="55">
        <v>0</v>
      </c>
      <c r="Q36" s="52">
        <f>IFERROR(VLOOKUP($A36,'Housekeeping Sample'!$A:$O,15,FALSE),0)</f>
        <v>15.622222222222222</v>
      </c>
      <c r="R36" s="52">
        <f>IFERROR(VLOOKUP($A36,'Housekeeping Sample'!$A:$O,14,FALSE),0)</f>
        <v>15.25</v>
      </c>
      <c r="S36" s="56">
        <f>IFERROR(VLOOKUP($A36,'Housekeeping Sample'!$A:$P,16,FALSE)/VLOOKUP($A36,'Housekeeping Sample'!$A:$P,11,FALSE),0)</f>
        <v>0.22222222222222221</v>
      </c>
      <c r="T36" s="55">
        <v>0.24744468720962354</v>
      </c>
      <c r="U36" s="52">
        <f>IFERROR(VLOOKUP($A36,'Activities Sample'!$A:$M,13,FALSE),0)</f>
        <v>0</v>
      </c>
      <c r="V36" s="52">
        <f>IFERROR(VLOOKUP($A36,'Activities Sample'!$A:$M,12,FALSE),0)</f>
        <v>0</v>
      </c>
      <c r="W36" s="56">
        <f>IFERROR(VLOOKUP($A36,'Activities Sample'!$A:$O,15,FALSE)/VLOOKUP($A36,'Activities Sample'!$A:$O,9,FALSE),0)</f>
        <v>0</v>
      </c>
      <c r="X36" s="55">
        <v>0</v>
      </c>
    </row>
    <row r="37" spans="1:24" s="57" customFormat="1" x14ac:dyDescent="0.55000000000000004">
      <c r="A37" s="50">
        <v>277</v>
      </c>
      <c r="B37" s="51">
        <v>1</v>
      </c>
      <c r="C37" s="51" t="s">
        <v>48</v>
      </c>
      <c r="D37" s="51" t="s">
        <v>43</v>
      </c>
      <c r="E37" s="52">
        <f>IFERROR(VLOOKUP($A37,'CNA Sample'!$A:$M,13,FALSE),0)</f>
        <v>21.75702272727273</v>
      </c>
      <c r="F37" s="53">
        <f>IFERROR(VLOOKUP($A37,'CNA Sample'!$A:$M,12,FALSE),0)</f>
        <v>21.7698</v>
      </c>
      <c r="G37" s="54">
        <f>IFERROR(VLOOKUP($A37,'CNA Sample'!$A:$O,15,FALSE)/VLOOKUP($A37,'CNA Sample'!$A:$O,9,FALSE),0)</f>
        <v>0.5</v>
      </c>
      <c r="H37" s="55">
        <v>2.5822751322751323</v>
      </c>
      <c r="I37" s="52">
        <f>IFERROR(VLOOKUP($A37,'Dietary Sample'!$A:$AA,27,FALSE),0)</f>
        <v>23.389450000000004</v>
      </c>
      <c r="J37" s="52">
        <f>IFERROR(VLOOKUP($A37,'Dietary Sample'!$A:$AA,26,FALSE),0)</f>
        <v>23.488</v>
      </c>
      <c r="K37" s="54">
        <f>IFERROR(VLOOKUP($A37,'Dietary Sample'!$A:$AM,35,FALSE)/VLOOKUP($A37,'Dietary Sample'!$A:$AM,18,FALSE),0)</f>
        <v>0.5</v>
      </c>
      <c r="L37" s="55">
        <v>0.56216931216931221</v>
      </c>
      <c r="M37" s="52">
        <f>IFERROR(VLOOKUP($A37,'Dietary Sample'!$A:$AA,23,FALSE),0)</f>
        <v>16.327933333333334</v>
      </c>
      <c r="N37" s="52">
        <f>IFERROR(VLOOKUP($A37,'Dietary Sample'!$A:$AA,22,FALSE),0)</f>
        <v>15.7514</v>
      </c>
      <c r="O37" s="56">
        <f>IFERROR(VLOOKUP($A37,'Dietary Sample'!$A:$AM,30,FALSE)/VLOOKUP($A37,'Dietary Sample'!$A:$AM,17,FALSE),0)</f>
        <v>0.5</v>
      </c>
      <c r="P37" s="55">
        <v>0.84325396825396826</v>
      </c>
      <c r="Q37" s="52">
        <f>IFERROR(VLOOKUP($A37,'Housekeeping Sample'!$A:$O,15,FALSE),0)</f>
        <v>18.984099999999998</v>
      </c>
      <c r="R37" s="52">
        <f>IFERROR(VLOOKUP($A37,'Housekeeping Sample'!$A:$O,14,FALSE),0)</f>
        <v>18.984099999999998</v>
      </c>
      <c r="S37" s="56">
        <f>IFERROR(VLOOKUP($A37,'Housekeeping Sample'!$A:$P,16,FALSE)/VLOOKUP($A37,'Housekeeping Sample'!$A:$P,11,FALSE),0)</f>
        <v>0.5</v>
      </c>
      <c r="T37" s="55">
        <v>0.49431216931216931</v>
      </c>
      <c r="U37" s="52">
        <f>IFERROR(VLOOKUP($A37,'Activities Sample'!$A:$M,13,FALSE),0)</f>
        <v>24.58</v>
      </c>
      <c r="V37" s="52">
        <f>IFERROR(VLOOKUP($A37,'Activities Sample'!$A:$M,12,FALSE),0)</f>
        <v>24.58</v>
      </c>
      <c r="W37" s="56">
        <f>IFERROR(VLOOKUP($A37,'Activities Sample'!$A:$O,15,FALSE)/VLOOKUP($A37,'Activities Sample'!$A:$O,9,FALSE),0)</f>
        <v>0</v>
      </c>
      <c r="X37" s="55">
        <v>0.89682539682539686</v>
      </c>
    </row>
    <row r="38" spans="1:24" s="57" customFormat="1" x14ac:dyDescent="0.55000000000000004">
      <c r="A38" s="50">
        <v>288</v>
      </c>
      <c r="B38" s="51">
        <v>3</v>
      </c>
      <c r="C38" s="51" t="s">
        <v>37</v>
      </c>
      <c r="D38" s="51" t="s">
        <v>38</v>
      </c>
      <c r="E38" s="52">
        <f>IFERROR(VLOOKUP($A38,'CNA Sample'!$A:$M,13,FALSE),0)</f>
        <v>21.653846153846157</v>
      </c>
      <c r="F38" s="53">
        <f>IFERROR(VLOOKUP($A38,'CNA Sample'!$A:$M,12,FALSE),0)</f>
        <v>22.24</v>
      </c>
      <c r="G38" s="54">
        <f>IFERROR(VLOOKUP($A38,'CNA Sample'!$A:$O,15,FALSE)/VLOOKUP($A38,'CNA Sample'!$A:$O,9,FALSE),0)</f>
        <v>0.38461538461538464</v>
      </c>
      <c r="H38" s="55">
        <v>1.5790191509916462</v>
      </c>
      <c r="I38" s="52">
        <f>IFERROR(VLOOKUP($A38,'Dietary Sample'!$A:$AA,27,FALSE),0)</f>
        <v>19.585000000000001</v>
      </c>
      <c r="J38" s="52">
        <f>IFERROR(VLOOKUP($A38,'Dietary Sample'!$A:$AA,26,FALSE),0)</f>
        <v>19.585000000000001</v>
      </c>
      <c r="K38" s="54">
        <f>IFERROR(VLOOKUP($A38,'Dietary Sample'!$A:$AM,35,FALSE)/VLOOKUP($A38,'Dietary Sample'!$A:$AM,18,FALSE),0)</f>
        <v>0.33333333333333331</v>
      </c>
      <c r="L38" s="55">
        <v>0.26891657668920838</v>
      </c>
      <c r="M38" s="52">
        <f>IFERROR(VLOOKUP($A38,'Dietary Sample'!$A:$AA,23,FALSE),0)</f>
        <v>15.65</v>
      </c>
      <c r="N38" s="52">
        <f>IFERROR(VLOOKUP($A38,'Dietary Sample'!$A:$AA,22,FALSE),0)</f>
        <v>15.75</v>
      </c>
      <c r="O38" s="56">
        <f>IFERROR(VLOOKUP($A38,'Dietary Sample'!$A:$AM,30,FALSE)/VLOOKUP($A38,'Dietary Sample'!$A:$AM,17,FALSE),0)</f>
        <v>0.4</v>
      </c>
      <c r="P38" s="55">
        <v>0.44819429448201398</v>
      </c>
      <c r="Q38" s="52">
        <f>IFERROR(VLOOKUP($A38,'Housekeeping Sample'!$A:$O,15,FALSE),0)</f>
        <v>0</v>
      </c>
      <c r="R38" s="52">
        <f>IFERROR(VLOOKUP($A38,'Housekeeping Sample'!$A:$O,14,FALSE),0)</f>
        <v>0</v>
      </c>
      <c r="S38" s="56">
        <f>IFERROR(VLOOKUP($A38,'Housekeeping Sample'!$A:$P,16,FALSE)/VLOOKUP($A38,'Housekeeping Sample'!$A:$P,11,FALSE),0)</f>
        <v>0</v>
      </c>
      <c r="T38" s="55">
        <v>0</v>
      </c>
      <c r="U38" s="52">
        <f>IFERROR(VLOOKUP($A38,'Activities Sample'!$A:$M,13,FALSE),0)</f>
        <v>0</v>
      </c>
      <c r="V38" s="52">
        <f>IFERROR(VLOOKUP($A38,'Activities Sample'!$A:$M,12,FALSE),0)</f>
        <v>0</v>
      </c>
      <c r="W38" s="56">
        <f>IFERROR(VLOOKUP($A38,'Activities Sample'!$A:$O,15,FALSE)/VLOOKUP($A38,'Activities Sample'!$A:$O,9,FALSE),0)</f>
        <v>0</v>
      </c>
      <c r="X38" s="55">
        <v>0</v>
      </c>
    </row>
    <row r="39" spans="1:24" s="57" customFormat="1" x14ac:dyDescent="0.55000000000000004">
      <c r="A39" s="50">
        <v>293</v>
      </c>
      <c r="B39" s="51">
        <v>1</v>
      </c>
      <c r="C39" s="51" t="s">
        <v>50</v>
      </c>
      <c r="D39" s="51" t="s">
        <v>40</v>
      </c>
      <c r="E39" s="52">
        <f>IFERROR(VLOOKUP($A39,'CNA Sample'!$A:$M,13,FALSE),0)</f>
        <v>0</v>
      </c>
      <c r="F39" s="53">
        <f>IFERROR(VLOOKUP($A39,'CNA Sample'!$A:$M,12,FALSE),0)</f>
        <v>0</v>
      </c>
      <c r="G39" s="54">
        <f>IFERROR(VLOOKUP($A39,'CNA Sample'!$A:$O,15,FALSE)/VLOOKUP($A39,'CNA Sample'!$A:$O,9,FALSE),0)</f>
        <v>0</v>
      </c>
      <c r="H39" s="55">
        <v>0</v>
      </c>
      <c r="I39" s="52">
        <f>IFERROR(VLOOKUP($A39,'Dietary Sample'!$A:$AA,27,FALSE),0)</f>
        <v>0</v>
      </c>
      <c r="J39" s="52">
        <f>IFERROR(VLOOKUP($A39,'Dietary Sample'!$A:$AA,26,FALSE),0)</f>
        <v>0</v>
      </c>
      <c r="K39" s="54">
        <f>IFERROR(VLOOKUP($A39,'Dietary Sample'!$A:$AM,35,FALSE)/VLOOKUP($A39,'Dietary Sample'!$A:$AM,18,FALSE),0)</f>
        <v>0</v>
      </c>
      <c r="L39" s="55">
        <v>0</v>
      </c>
      <c r="M39" s="52">
        <f>IFERROR(VLOOKUP($A39,'Dietary Sample'!$A:$AA,23,FALSE),0)</f>
        <v>0</v>
      </c>
      <c r="N39" s="52">
        <f>IFERROR(VLOOKUP($A39,'Dietary Sample'!$A:$AA,22,FALSE),0)</f>
        <v>0</v>
      </c>
      <c r="O39" s="56">
        <f>IFERROR(VLOOKUP($A39,'Dietary Sample'!$A:$AM,30,FALSE)/VLOOKUP($A39,'Dietary Sample'!$A:$AM,17,FALSE),0)</f>
        <v>0</v>
      </c>
      <c r="P39" s="55">
        <v>0</v>
      </c>
      <c r="Q39" s="52">
        <f>IFERROR(VLOOKUP($A39,'Housekeeping Sample'!$A:$O,15,FALSE),0)</f>
        <v>0</v>
      </c>
      <c r="R39" s="52">
        <f>IFERROR(VLOOKUP($A39,'Housekeeping Sample'!$A:$O,14,FALSE),0)</f>
        <v>0</v>
      </c>
      <c r="S39" s="56">
        <f>IFERROR(VLOOKUP($A39,'Housekeeping Sample'!$A:$P,16,FALSE)/VLOOKUP($A39,'Housekeeping Sample'!$A:$P,11,FALSE),0)</f>
        <v>0</v>
      </c>
      <c r="T39" s="55">
        <v>0</v>
      </c>
      <c r="U39" s="52">
        <f>IFERROR(VLOOKUP($A39,'Activities Sample'!$A:$M,13,FALSE),0)</f>
        <v>14.369487179487177</v>
      </c>
      <c r="V39" s="52">
        <f>IFERROR(VLOOKUP($A39,'Activities Sample'!$A:$M,12,FALSE),0)</f>
        <v>13.93</v>
      </c>
      <c r="W39" s="56">
        <f>IFERROR(VLOOKUP($A39,'Activities Sample'!$A:$O,15,FALSE)/VLOOKUP($A39,'Activities Sample'!$A:$O,9,FALSE),0)</f>
        <v>0.66666666666666663</v>
      </c>
      <c r="X39" s="55">
        <v>0.66150563852484001</v>
      </c>
    </row>
    <row r="40" spans="1:24" s="57" customFormat="1" x14ac:dyDescent="0.55000000000000004">
      <c r="A40" s="50">
        <v>313</v>
      </c>
      <c r="B40" s="51">
        <v>2</v>
      </c>
      <c r="C40" s="51" t="s">
        <v>49</v>
      </c>
      <c r="D40" s="51" t="s">
        <v>38</v>
      </c>
      <c r="E40" s="52">
        <f>IFERROR(VLOOKUP($A40,'CNA Sample'!$A:$M,13,FALSE),0)</f>
        <v>17.656706451612902</v>
      </c>
      <c r="F40" s="53">
        <f>IFERROR(VLOOKUP($A40,'CNA Sample'!$A:$M,12,FALSE),0)</f>
        <v>17.690000000000001</v>
      </c>
      <c r="G40" s="54">
        <f>IFERROR(VLOOKUP($A40,'CNA Sample'!$A:$O,15,FALSE)/VLOOKUP($A40,'CNA Sample'!$A:$O,9,FALSE),0)</f>
        <v>0.45161290322580644</v>
      </c>
      <c r="H40" s="55">
        <v>2.5950454583368088</v>
      </c>
      <c r="I40" s="52">
        <f>IFERROR(VLOOKUP($A40,'Dietary Sample'!$A:$AA,27,FALSE),0)</f>
        <v>19.351750000000003</v>
      </c>
      <c r="J40" s="52">
        <f>IFERROR(VLOOKUP($A40,'Dietary Sample'!$A:$AA,26,FALSE),0)</f>
        <v>18.91</v>
      </c>
      <c r="K40" s="54">
        <f>IFERROR(VLOOKUP($A40,'Dietary Sample'!$A:$AM,35,FALSE)/VLOOKUP($A40,'Dietary Sample'!$A:$AM,18,FALSE),0)</f>
        <v>0.5</v>
      </c>
      <c r="L40" s="55">
        <v>0.33279395000973117</v>
      </c>
      <c r="M40" s="52">
        <f>IFERROR(VLOOKUP($A40,'Dietary Sample'!$A:$AA,23,FALSE),0)</f>
        <v>16.483381818181819</v>
      </c>
      <c r="N40" s="52">
        <f>IFERROR(VLOOKUP($A40,'Dietary Sample'!$A:$AA,22,FALSE),0)</f>
        <v>16.21</v>
      </c>
      <c r="O40" s="56">
        <f>IFERROR(VLOOKUP($A40,'Dietary Sample'!$A:$AM,30,FALSE)/VLOOKUP($A40,'Dietary Sample'!$A:$AM,17,FALSE),0)</f>
        <v>0.45454545454545453</v>
      </c>
      <c r="P40" s="55">
        <v>0.91518336252676058</v>
      </c>
      <c r="Q40" s="52">
        <f>IFERROR(VLOOKUP($A40,'Housekeeping Sample'!$A:$O,15,FALSE),0)</f>
        <v>16.920299999999997</v>
      </c>
      <c r="R40" s="52">
        <f>IFERROR(VLOOKUP($A40,'Housekeeping Sample'!$A:$O,14,FALSE),0)</f>
        <v>17.180599999999998</v>
      </c>
      <c r="S40" s="56">
        <f>IFERROR(VLOOKUP($A40,'Housekeeping Sample'!$A:$P,16,FALSE)/VLOOKUP($A40,'Housekeeping Sample'!$A:$P,11,FALSE),0)</f>
        <v>0.5</v>
      </c>
      <c r="T40" s="55">
        <v>0.48702977729585456</v>
      </c>
      <c r="U40" s="52">
        <f>IFERROR(VLOOKUP($A40,'Activities Sample'!$A:$M,13,FALSE),0)</f>
        <v>16.01005</v>
      </c>
      <c r="V40" s="52">
        <f>IFERROR(VLOOKUP($A40,'Activities Sample'!$A:$M,12,FALSE),0)</f>
        <v>16.01005</v>
      </c>
      <c r="W40" s="56">
        <f>IFERROR(VLOOKUP($A40,'Activities Sample'!$A:$O,15,FALSE)/VLOOKUP($A40,'Activities Sample'!$A:$O,9,FALSE),0)</f>
        <v>0.5</v>
      </c>
      <c r="X40" s="55">
        <v>0.32896822086913002</v>
      </c>
    </row>
    <row r="41" spans="1:24" s="57" customFormat="1" x14ac:dyDescent="0.55000000000000004">
      <c r="A41" s="50">
        <v>315</v>
      </c>
      <c r="B41" s="51">
        <v>2</v>
      </c>
      <c r="C41" s="51" t="s">
        <v>52</v>
      </c>
      <c r="D41" s="51" t="s">
        <v>43</v>
      </c>
      <c r="E41" s="52">
        <f>IFERROR(VLOOKUP($A41,'CNA Sample'!$A:$M,13,FALSE),0)</f>
        <v>18.674848484848479</v>
      </c>
      <c r="F41" s="53">
        <f>IFERROR(VLOOKUP($A41,'CNA Sample'!$A:$M,12,FALSE),0)</f>
        <v>17.45</v>
      </c>
      <c r="G41" s="54">
        <f>IFERROR(VLOOKUP($A41,'CNA Sample'!$A:$O,15,FALSE)/VLOOKUP($A41,'CNA Sample'!$A:$O,9,FALSE),0)</f>
        <v>0.78787878787878785</v>
      </c>
      <c r="H41" s="55">
        <v>1.7849929416874797</v>
      </c>
      <c r="I41" s="52">
        <f>IFERROR(VLOOKUP($A41,'Dietary Sample'!$A:$AA,27,FALSE),0)</f>
        <v>24.188571428571429</v>
      </c>
      <c r="J41" s="52">
        <f>IFERROR(VLOOKUP($A41,'Dietary Sample'!$A:$AA,26,FALSE),0)</f>
        <v>25.16</v>
      </c>
      <c r="K41" s="54">
        <f>IFERROR(VLOOKUP($A41,'Dietary Sample'!$A:$AM,35,FALSE)/VLOOKUP($A41,'Dietary Sample'!$A:$AM,18,FALSE),0)</f>
        <v>0.2857142857142857</v>
      </c>
      <c r="L41" s="55">
        <v>0.27678720092662973</v>
      </c>
      <c r="M41" s="52">
        <f>IFERROR(VLOOKUP($A41,'Dietary Sample'!$A:$AA,23,FALSE),0)</f>
        <v>18.988695652173913</v>
      </c>
      <c r="N41" s="52">
        <f>IFERROR(VLOOKUP($A41,'Dietary Sample'!$A:$AA,22,FALSE),0)</f>
        <v>17.68</v>
      </c>
      <c r="O41" s="56">
        <f>IFERROR(VLOOKUP($A41,'Dietary Sample'!$A:$AM,30,FALSE)/VLOOKUP($A41,'Dietary Sample'!$A:$AM,17,FALSE),0)</f>
        <v>0.43478260869565216</v>
      </c>
      <c r="P41" s="55">
        <v>0.90944366018749778</v>
      </c>
      <c r="Q41" s="52">
        <f>IFERROR(VLOOKUP($A41,'Housekeeping Sample'!$A:$O,15,FALSE),0)</f>
        <v>17.403461538461535</v>
      </c>
      <c r="R41" s="52">
        <f>IFERROR(VLOOKUP($A41,'Housekeeping Sample'!$A:$O,14,FALSE),0)</f>
        <v>16.66</v>
      </c>
      <c r="S41" s="56">
        <f>IFERROR(VLOOKUP($A41,'Housekeeping Sample'!$A:$P,16,FALSE)/VLOOKUP($A41,'Housekeeping Sample'!$A:$P,11,FALSE),0)</f>
        <v>0.46153846153846156</v>
      </c>
      <c r="T41" s="55">
        <v>0.58307090889347379</v>
      </c>
      <c r="U41" s="52">
        <f>IFERROR(VLOOKUP($A41,'Activities Sample'!$A:$M,13,FALSE),0)</f>
        <v>23.97</v>
      </c>
      <c r="V41" s="52">
        <f>IFERROR(VLOOKUP($A41,'Activities Sample'!$A:$M,12,FALSE),0)</f>
        <v>23.759999999999998</v>
      </c>
      <c r="W41" s="56">
        <f>IFERROR(VLOOKUP($A41,'Activities Sample'!$A:$O,15,FALSE)/VLOOKUP($A41,'Activities Sample'!$A:$O,9,FALSE),0)</f>
        <v>0.5</v>
      </c>
      <c r="X41" s="55">
        <v>0.43815832337930288</v>
      </c>
    </row>
    <row r="42" spans="1:24" s="57" customFormat="1" x14ac:dyDescent="0.55000000000000004">
      <c r="A42" s="50">
        <v>316</v>
      </c>
      <c r="B42" s="51">
        <v>3</v>
      </c>
      <c r="C42" s="51" t="s">
        <v>37</v>
      </c>
      <c r="D42" s="51" t="s">
        <v>45</v>
      </c>
      <c r="E42" s="52">
        <f>IFERROR(VLOOKUP($A42,'CNA Sample'!$A:$M,13,FALSE),0)</f>
        <v>23.283055555555556</v>
      </c>
      <c r="F42" s="53">
        <f>IFERROR(VLOOKUP($A42,'CNA Sample'!$A:$M,12,FALSE),0)</f>
        <v>23</v>
      </c>
      <c r="G42" s="54">
        <f>IFERROR(VLOOKUP($A42,'CNA Sample'!$A:$O,15,FALSE)/VLOOKUP($A42,'CNA Sample'!$A:$O,9,FALSE),0)</f>
        <v>0.58333333333333337</v>
      </c>
      <c r="H42" s="55">
        <v>1.7049322180559561</v>
      </c>
      <c r="I42" s="52">
        <f>IFERROR(VLOOKUP($A42,'Dietary Sample'!$A:$AA,27,FALSE),0)</f>
        <v>21.5625</v>
      </c>
      <c r="J42" s="52">
        <f>IFERROR(VLOOKUP($A42,'Dietary Sample'!$A:$AA,26,FALSE),0)</f>
        <v>21.125</v>
      </c>
      <c r="K42" s="54">
        <f>IFERROR(VLOOKUP($A42,'Dietary Sample'!$A:$AM,35,FALSE)/VLOOKUP($A42,'Dietary Sample'!$A:$AM,18,FALSE),0)</f>
        <v>0.5</v>
      </c>
      <c r="L42" s="55">
        <v>0.25518525316621654</v>
      </c>
      <c r="M42" s="52">
        <f>IFERROR(VLOOKUP($A42,'Dietary Sample'!$A:$AA,23,FALSE),0)</f>
        <v>16.978571428571428</v>
      </c>
      <c r="N42" s="52">
        <f>IFERROR(VLOOKUP($A42,'Dietary Sample'!$A:$AA,22,FALSE),0)</f>
        <v>17</v>
      </c>
      <c r="O42" s="56">
        <f>IFERROR(VLOOKUP($A42,'Dietary Sample'!$A:$AM,30,FALSE)/VLOOKUP($A42,'Dietary Sample'!$A:$AM,17,FALSE),0)</f>
        <v>0.14285714285714285</v>
      </c>
      <c r="P42" s="55">
        <v>0.44657419304087892</v>
      </c>
      <c r="Q42" s="52">
        <f>IFERROR(VLOOKUP($A42,'Housekeeping Sample'!$A:$O,15,FALSE),0)</f>
        <v>18.308</v>
      </c>
      <c r="R42" s="52">
        <f>IFERROR(VLOOKUP($A42,'Housekeeping Sample'!$A:$O,14,FALSE),0)</f>
        <v>18.54</v>
      </c>
      <c r="S42" s="56">
        <f>IFERROR(VLOOKUP($A42,'Housekeeping Sample'!$A:$P,16,FALSE)/VLOOKUP($A42,'Housekeeping Sample'!$A:$P,11,FALSE),0)</f>
        <v>0.4</v>
      </c>
      <c r="T42" s="55">
        <v>0.3371379125633524</v>
      </c>
      <c r="U42" s="52">
        <f>IFERROR(VLOOKUP($A42,'Activities Sample'!$A:$M,13,FALSE),0)</f>
        <v>17.32</v>
      </c>
      <c r="V42" s="52">
        <f>IFERROR(VLOOKUP($A42,'Activities Sample'!$A:$M,12,FALSE),0)</f>
        <v>17.32</v>
      </c>
      <c r="W42" s="56">
        <f>IFERROR(VLOOKUP($A42,'Activities Sample'!$A:$O,15,FALSE)/VLOOKUP($A42,'Activities Sample'!$A:$O,9,FALSE),0)</f>
        <v>0.5</v>
      </c>
      <c r="X42" s="55">
        <v>0.22658535580370021</v>
      </c>
    </row>
    <row r="43" spans="1:24" s="57" customFormat="1" x14ac:dyDescent="0.55000000000000004">
      <c r="A43" s="50">
        <v>318</v>
      </c>
      <c r="B43" s="51">
        <v>2</v>
      </c>
      <c r="C43" s="51" t="s">
        <v>53</v>
      </c>
      <c r="D43" s="51" t="s">
        <v>40</v>
      </c>
      <c r="E43" s="52">
        <f>IFERROR(VLOOKUP($A43,'CNA Sample'!$A:$M,13,FALSE),0)</f>
        <v>20.374400000000001</v>
      </c>
      <c r="F43" s="53">
        <f>IFERROR(VLOOKUP($A43,'CNA Sample'!$A:$M,12,FALSE),0)</f>
        <v>20</v>
      </c>
      <c r="G43" s="54">
        <f>IFERROR(VLOOKUP($A43,'CNA Sample'!$A:$O,15,FALSE)/VLOOKUP($A43,'CNA Sample'!$A:$O,9,FALSE),0)</f>
        <v>0.6</v>
      </c>
      <c r="H43" s="55">
        <v>2.7733757062146891</v>
      </c>
      <c r="I43" s="52">
        <f>IFERROR(VLOOKUP($A43,'Dietary Sample'!$A:$AA,27,FALSE),0)</f>
        <v>21.25</v>
      </c>
      <c r="J43" s="52">
        <f>IFERROR(VLOOKUP($A43,'Dietary Sample'!$A:$AA,26,FALSE),0)</f>
        <v>21</v>
      </c>
      <c r="K43" s="54">
        <f>IFERROR(VLOOKUP($A43,'Dietary Sample'!$A:$AM,35,FALSE)/VLOOKUP($A43,'Dietary Sample'!$A:$AM,18,FALSE),0)</f>
        <v>0.4</v>
      </c>
      <c r="L43" s="55">
        <v>0.49762241054613932</v>
      </c>
      <c r="M43" s="52">
        <f>IFERROR(VLOOKUP($A43,'Dietary Sample'!$A:$AA,23,FALSE),0)</f>
        <v>16.425000000000001</v>
      </c>
      <c r="N43" s="52">
        <f>IFERROR(VLOOKUP($A43,'Dietary Sample'!$A:$AA,22,FALSE),0)</f>
        <v>16.094999999999999</v>
      </c>
      <c r="O43" s="56">
        <f>IFERROR(VLOOKUP($A43,'Dietary Sample'!$A:$AM,30,FALSE)/VLOOKUP($A43,'Dietary Sample'!$A:$AM,17,FALSE),0)</f>
        <v>0.5</v>
      </c>
      <c r="P43" s="55">
        <v>0.99524482109227863</v>
      </c>
      <c r="Q43" s="52">
        <f>IFERROR(VLOOKUP($A43,'Housekeeping Sample'!$A:$O,15,FALSE),0)</f>
        <v>16.886666666666667</v>
      </c>
      <c r="R43" s="52">
        <f>IFERROR(VLOOKUP($A43,'Housekeeping Sample'!$A:$O,14,FALSE),0)</f>
        <v>17.47</v>
      </c>
      <c r="S43" s="56">
        <f>IFERROR(VLOOKUP($A43,'Housekeeping Sample'!$A:$P,16,FALSE)/VLOOKUP($A43,'Housekeeping Sample'!$A:$P,11,FALSE),0)</f>
        <v>0.33333333333333331</v>
      </c>
      <c r="T43" s="55">
        <v>0.29124293785310734</v>
      </c>
      <c r="U43" s="52">
        <f>IFERROR(VLOOKUP($A43,'Activities Sample'!$A:$M,13,FALSE),0)</f>
        <v>15.681999999999999</v>
      </c>
      <c r="V43" s="52">
        <f>IFERROR(VLOOKUP($A43,'Activities Sample'!$A:$M,12,FALSE),0)</f>
        <v>15.72</v>
      </c>
      <c r="W43" s="56">
        <f>IFERROR(VLOOKUP($A43,'Activities Sample'!$A:$O,15,FALSE)/VLOOKUP($A43,'Activities Sample'!$A:$O,9,FALSE),0)</f>
        <v>0.4</v>
      </c>
      <c r="X43" s="55">
        <v>0.52005649717514124</v>
      </c>
    </row>
    <row r="44" spans="1:24" s="57" customFormat="1" x14ac:dyDescent="0.55000000000000004">
      <c r="A44" s="50">
        <v>319</v>
      </c>
      <c r="B44" s="51">
        <v>3</v>
      </c>
      <c r="C44" s="51" t="s">
        <v>37</v>
      </c>
      <c r="D44" s="51" t="s">
        <v>38</v>
      </c>
      <c r="E44" s="52">
        <f>IFERROR(VLOOKUP($A44,'CNA Sample'!$A:$M,13,FALSE),0)</f>
        <v>19.98</v>
      </c>
      <c r="F44" s="53">
        <f>IFERROR(VLOOKUP($A44,'CNA Sample'!$A:$M,12,FALSE),0)</f>
        <v>20</v>
      </c>
      <c r="G44" s="54">
        <f>IFERROR(VLOOKUP($A44,'CNA Sample'!$A:$O,15,FALSE)/VLOOKUP($A44,'CNA Sample'!$A:$O,9,FALSE),0)</f>
        <v>0.36</v>
      </c>
      <c r="H44" s="55">
        <v>1.7130973986690865</v>
      </c>
      <c r="I44" s="52">
        <f>IFERROR(VLOOKUP($A44,'Dietary Sample'!$A:$AA,27,FALSE),0)</f>
        <v>0</v>
      </c>
      <c r="J44" s="52">
        <f>IFERROR(VLOOKUP($A44,'Dietary Sample'!$A:$AA,26,FALSE),0)</f>
        <v>0</v>
      </c>
      <c r="K44" s="54">
        <f>IFERROR(VLOOKUP($A44,'Dietary Sample'!$A:$AM,35,FALSE)/VLOOKUP($A44,'Dietary Sample'!$A:$AM,18,FALSE),0)</f>
        <v>0</v>
      </c>
      <c r="L44" s="55">
        <v>0</v>
      </c>
      <c r="M44" s="52">
        <f>IFERROR(VLOOKUP($A44,'Dietary Sample'!$A:$AA,23,FALSE),0)</f>
        <v>0</v>
      </c>
      <c r="N44" s="52">
        <f>IFERROR(VLOOKUP($A44,'Dietary Sample'!$A:$AA,22,FALSE),0)</f>
        <v>0</v>
      </c>
      <c r="O44" s="56">
        <f>IFERROR(VLOOKUP($A44,'Dietary Sample'!$A:$AM,30,FALSE)/VLOOKUP($A44,'Dietary Sample'!$A:$AM,17,FALSE),0)</f>
        <v>0</v>
      </c>
      <c r="P44" s="55">
        <v>0</v>
      </c>
      <c r="Q44" s="52">
        <f>IFERROR(VLOOKUP($A44,'Housekeeping Sample'!$A:$O,15,FALSE),0)</f>
        <v>0</v>
      </c>
      <c r="R44" s="52">
        <f>IFERROR(VLOOKUP($A44,'Housekeeping Sample'!$A:$O,14,FALSE),0)</f>
        <v>0</v>
      </c>
      <c r="S44" s="56">
        <f>IFERROR(VLOOKUP($A44,'Housekeeping Sample'!$A:$P,16,FALSE)/VLOOKUP($A44,'Housekeeping Sample'!$A:$P,11,FALSE),0)</f>
        <v>0</v>
      </c>
      <c r="T44" s="55">
        <v>0</v>
      </c>
      <c r="U44" s="52">
        <f>IFERROR(VLOOKUP($A44,'Activities Sample'!$A:$M,13,FALSE),0)</f>
        <v>20</v>
      </c>
      <c r="V44" s="52">
        <f>IFERROR(VLOOKUP($A44,'Activities Sample'!$A:$M,12,FALSE),0)</f>
        <v>20</v>
      </c>
      <c r="W44" s="56">
        <f>IFERROR(VLOOKUP($A44,'Activities Sample'!$A:$O,15,FALSE)/VLOOKUP($A44,'Activities Sample'!$A:$O,9,FALSE),0)</f>
        <v>0</v>
      </c>
      <c r="X44" s="55">
        <v>0.22379764065335753</v>
      </c>
    </row>
    <row r="45" spans="1:24" s="57" customFormat="1" x14ac:dyDescent="0.55000000000000004">
      <c r="A45" s="50">
        <v>336</v>
      </c>
      <c r="B45" s="58">
        <v>1</v>
      </c>
      <c r="C45" s="58" t="s">
        <v>41</v>
      </c>
      <c r="D45" s="58" t="s">
        <v>40</v>
      </c>
      <c r="E45" s="59">
        <f>IFERROR(VLOOKUP($A45,'CNA Sample'!$A:$M,13,FALSE),0)</f>
        <v>20.469583333333329</v>
      </c>
      <c r="F45" s="53">
        <f>IFERROR(VLOOKUP($A45,'CNA Sample'!$A:$M,12,FALSE),0)</f>
        <v>20.015000000000001</v>
      </c>
      <c r="G45" s="60">
        <f>IFERROR(VLOOKUP($A45,'CNA Sample'!$A:$O,15,FALSE)/VLOOKUP($A45,'CNA Sample'!$A:$O,9,FALSE),0)</f>
        <v>0.66666666666666663</v>
      </c>
      <c r="H45" s="55">
        <v>2.3697420404369045</v>
      </c>
      <c r="I45" s="52">
        <f>IFERROR(VLOOKUP($A45,'Dietary Sample'!$A:$AA,27,FALSE),0)</f>
        <v>20.643333333333334</v>
      </c>
      <c r="J45" s="52">
        <f>IFERROR(VLOOKUP($A45,'Dietary Sample'!$A:$AA,26,FALSE),0)</f>
        <v>21.25</v>
      </c>
      <c r="K45" s="54">
        <f>IFERROR(VLOOKUP($A45,'Dietary Sample'!$A:$AM,35,FALSE)/VLOOKUP($A45,'Dietary Sample'!$A:$AM,18,FALSE),0)</f>
        <v>0.33333333333333331</v>
      </c>
      <c r="L45" s="55">
        <v>6.7322217057866601E-3</v>
      </c>
      <c r="M45" s="52">
        <f>IFERROR(VLOOKUP($A45,'Dietary Sample'!$A:$AA,23,FALSE),0)</f>
        <v>18.968</v>
      </c>
      <c r="N45" s="52">
        <f>IFERROR(VLOOKUP($A45,'Dietary Sample'!$A:$AA,22,FALSE),0)</f>
        <v>18.82</v>
      </c>
      <c r="O45" s="56">
        <f>IFERROR(VLOOKUP($A45,'Dietary Sample'!$A:$AM,30,FALSE)/VLOOKUP($A45,'Dietary Sample'!$A:$AM,17,FALSE),0)</f>
        <v>0.2</v>
      </c>
      <c r="P45" s="55">
        <v>1.1220369509644433E-2</v>
      </c>
      <c r="Q45" s="52">
        <f>IFERROR(VLOOKUP($A45,'Housekeeping Sample'!$A:$O,15,FALSE),0)</f>
        <v>19.55</v>
      </c>
      <c r="R45" s="52">
        <f>IFERROR(VLOOKUP($A45,'Housekeeping Sample'!$A:$O,14,FALSE),0)</f>
        <v>19.55</v>
      </c>
      <c r="S45" s="56">
        <f>IFERROR(VLOOKUP($A45,'Housekeeping Sample'!$A:$P,16,FALSE)/VLOOKUP($A45,'Housekeeping Sample'!$A:$P,11,FALSE),0)</f>
        <v>0.5</v>
      </c>
      <c r="T45" s="55">
        <v>0</v>
      </c>
      <c r="U45" s="52">
        <f>IFERROR(VLOOKUP($A45,'Activities Sample'!$A:$M,13,FALSE),0)</f>
        <v>18.920000000000002</v>
      </c>
      <c r="V45" s="52">
        <f>IFERROR(VLOOKUP($A45,'Activities Sample'!$A:$M,12,FALSE),0)</f>
        <v>18.920000000000002</v>
      </c>
      <c r="W45" s="56">
        <f>IFERROR(VLOOKUP($A45,'Activities Sample'!$A:$O,15,FALSE)/VLOOKUP($A45,'Activities Sample'!$A:$O,9,FALSE),0)</f>
        <v>0.5</v>
      </c>
      <c r="X45" s="55">
        <v>0.24877992098535906</v>
      </c>
    </row>
    <row r="46" spans="1:24" s="57" customFormat="1" x14ac:dyDescent="0.55000000000000004">
      <c r="A46" s="50">
        <v>345</v>
      </c>
      <c r="B46" s="58">
        <v>3</v>
      </c>
      <c r="C46" s="58" t="s">
        <v>37</v>
      </c>
      <c r="D46" s="58" t="s">
        <v>45</v>
      </c>
      <c r="E46" s="59">
        <f>IFERROR(VLOOKUP($A46,'CNA Sample'!$A:$M,13,FALSE),0)</f>
        <v>0</v>
      </c>
      <c r="F46" s="53">
        <f>IFERROR(VLOOKUP($A46,'CNA Sample'!$A:$M,12,FALSE),0)</f>
        <v>0</v>
      </c>
      <c r="G46" s="60">
        <f>IFERROR(VLOOKUP($A46,'CNA Sample'!$A:$O,15,FALSE)/VLOOKUP($A46,'CNA Sample'!$A:$O,9,FALSE),0)</f>
        <v>0</v>
      </c>
      <c r="H46" s="55">
        <v>0</v>
      </c>
      <c r="I46" s="59">
        <f>IFERROR(VLOOKUP($A46,'Dietary Sample'!$A:$AA,27,FALSE),0)</f>
        <v>0</v>
      </c>
      <c r="J46" s="59">
        <f>IFERROR(VLOOKUP($A46,'Dietary Sample'!$A:$AA,26,FALSE),0)</f>
        <v>0</v>
      </c>
      <c r="K46" s="60">
        <f>IFERROR(VLOOKUP($A46,'Dietary Sample'!$A:$AM,35,FALSE)/VLOOKUP($A46,'Dietary Sample'!$A:$AM,18,FALSE),0)</f>
        <v>0</v>
      </c>
      <c r="L46" s="55">
        <v>0</v>
      </c>
      <c r="M46" s="59">
        <f>IFERROR(VLOOKUP($A46,'Dietary Sample'!$A:$AA,23,FALSE),0)</f>
        <v>0</v>
      </c>
      <c r="N46" s="59">
        <f>IFERROR(VLOOKUP($A46,'Dietary Sample'!$A:$AA,22,FALSE),0)</f>
        <v>0</v>
      </c>
      <c r="O46" s="56">
        <f>IFERROR(VLOOKUP($A46,'Dietary Sample'!$A:$AM,30,FALSE)/VLOOKUP($A46,'Dietary Sample'!$A:$AM,17,FALSE),0)</f>
        <v>0</v>
      </c>
      <c r="P46" s="55">
        <v>0</v>
      </c>
      <c r="Q46" s="59">
        <f>IFERROR(VLOOKUP($A46,'Housekeeping Sample'!$A:$O,15,FALSE),0)</f>
        <v>17</v>
      </c>
      <c r="R46" s="59">
        <f>IFERROR(VLOOKUP($A46,'Housekeeping Sample'!$A:$O,14,FALSE),0)</f>
        <v>17</v>
      </c>
      <c r="S46" s="56">
        <f>IFERROR(VLOOKUP($A46,'Housekeeping Sample'!$A:$P,16,FALSE)/VLOOKUP($A46,'Housekeeping Sample'!$A:$P,11,FALSE),0)</f>
        <v>0.4</v>
      </c>
      <c r="T46" s="55">
        <v>0.30931541846051946</v>
      </c>
      <c r="U46" s="59">
        <f>IFERROR(VLOOKUP($A46,'Activities Sample'!$A:$M,13,FALSE),0)</f>
        <v>0</v>
      </c>
      <c r="V46" s="59">
        <f>IFERROR(VLOOKUP($A46,'Activities Sample'!$A:$M,12,FALSE),0)</f>
        <v>0</v>
      </c>
      <c r="W46" s="56">
        <f>IFERROR(VLOOKUP($A46,'Activities Sample'!$A:$O,15,FALSE)/VLOOKUP($A46,'Activities Sample'!$A:$O,9,FALSE),0)</f>
        <v>0</v>
      </c>
      <c r="X46" s="55">
        <v>0</v>
      </c>
    </row>
    <row r="47" spans="1:24" s="57" customFormat="1" x14ac:dyDescent="0.55000000000000004">
      <c r="A47" s="50">
        <v>346</v>
      </c>
      <c r="B47" s="51">
        <v>2</v>
      </c>
      <c r="C47" s="51" t="s">
        <v>39</v>
      </c>
      <c r="D47" s="51" t="s">
        <v>40</v>
      </c>
      <c r="E47" s="52">
        <f>IFERROR(VLOOKUP($A47,'CNA Sample'!$A:$M,13,FALSE),0)</f>
        <v>23.75</v>
      </c>
      <c r="F47" s="53">
        <f>IFERROR(VLOOKUP($A47,'CNA Sample'!$A:$M,12,FALSE),0)</f>
        <v>24</v>
      </c>
      <c r="G47" s="54">
        <f>IFERROR(VLOOKUP($A47,'CNA Sample'!$A:$O,15,FALSE)/VLOOKUP($A47,'CNA Sample'!$A:$O,9,FALSE),0)</f>
        <v>0.5</v>
      </c>
      <c r="H47" s="55">
        <v>1.9463414634146341</v>
      </c>
      <c r="I47" s="52">
        <f>IFERROR(VLOOKUP($A47,'Dietary Sample'!$A:$AA,27,FALSE),0)</f>
        <v>18.75</v>
      </c>
      <c r="J47" s="52">
        <f>IFERROR(VLOOKUP($A47,'Dietary Sample'!$A:$AA,26,FALSE),0)</f>
        <v>19.25</v>
      </c>
      <c r="K47" s="54">
        <f>IFERROR(VLOOKUP($A47,'Dietary Sample'!$A:$AM,35,FALSE)/VLOOKUP($A47,'Dietary Sample'!$A:$AM,18,FALSE),0)</f>
        <v>0.5</v>
      </c>
      <c r="L47" s="55">
        <v>0.79241192411924111</v>
      </c>
      <c r="M47" s="52">
        <f>IFERROR(VLOOKUP($A47,'Dietary Sample'!$A:$AA,23,FALSE),0)</f>
        <v>15.75</v>
      </c>
      <c r="N47" s="52">
        <f>IFERROR(VLOOKUP($A47,'Dietary Sample'!$A:$AA,22,FALSE),0)</f>
        <v>15.75</v>
      </c>
      <c r="O47" s="56">
        <f>IFERROR(VLOOKUP($A47,'Dietary Sample'!$A:$AM,30,FALSE)/VLOOKUP($A47,'Dietary Sample'!$A:$AM,17,FALSE),0)</f>
        <v>0.5</v>
      </c>
      <c r="P47" s="55">
        <v>0.39620596205962055</v>
      </c>
      <c r="Q47" s="52">
        <f>IFERROR(VLOOKUP($A47,'Housekeeping Sample'!$A:$O,15,FALSE),0)</f>
        <v>17.5</v>
      </c>
      <c r="R47" s="52">
        <f>IFERROR(VLOOKUP($A47,'Housekeeping Sample'!$A:$O,14,FALSE),0)</f>
        <v>17.5</v>
      </c>
      <c r="S47" s="56">
        <f>IFERROR(VLOOKUP($A47,'Housekeeping Sample'!$A:$P,16,FALSE)/VLOOKUP($A47,'Housekeeping Sample'!$A:$P,11,FALSE),0)</f>
        <v>0</v>
      </c>
      <c r="T47" s="55">
        <v>0.32007504690431521</v>
      </c>
      <c r="U47" s="52">
        <f>IFERROR(VLOOKUP($A47,'Activities Sample'!$A:$M,13,FALSE),0)</f>
        <v>18.5</v>
      </c>
      <c r="V47" s="52">
        <f>IFERROR(VLOOKUP($A47,'Activities Sample'!$A:$M,12,FALSE),0)</f>
        <v>18.5</v>
      </c>
      <c r="W47" s="56">
        <f>IFERROR(VLOOKUP($A47,'Activities Sample'!$A:$O,15,FALSE)/VLOOKUP($A47,'Activities Sample'!$A:$O,9,FALSE),0)</f>
        <v>0</v>
      </c>
      <c r="X47" s="55">
        <v>0.43289555972482802</v>
      </c>
    </row>
    <row r="48" spans="1:24" s="57" customFormat="1" x14ac:dyDescent="0.55000000000000004">
      <c r="A48" s="50">
        <v>351</v>
      </c>
      <c r="B48" s="58">
        <v>2</v>
      </c>
      <c r="C48" s="58" t="s">
        <v>48</v>
      </c>
      <c r="D48" s="58" t="s">
        <v>38</v>
      </c>
      <c r="E48" s="59">
        <f>IFERROR(VLOOKUP($A48,'CNA Sample'!$A:$M,13,FALSE),0)</f>
        <v>20.198135593220346</v>
      </c>
      <c r="F48" s="53">
        <f>IFERROR(VLOOKUP($A48,'CNA Sample'!$A:$M,12,FALSE),0)</f>
        <v>19.71</v>
      </c>
      <c r="G48" s="60">
        <f>IFERROR(VLOOKUP($A48,'CNA Sample'!$A:$O,15,FALSE)/VLOOKUP($A48,'CNA Sample'!$A:$O,9,FALSE),0)</f>
        <v>0.57627118644067798</v>
      </c>
      <c r="H48" s="55">
        <v>2.4487025850473234</v>
      </c>
      <c r="I48" s="52">
        <f>IFERROR(VLOOKUP($A48,'Dietary Sample'!$A:$AA,27,FALSE),0)</f>
        <v>18.595714285714287</v>
      </c>
      <c r="J48" s="52">
        <f>IFERROR(VLOOKUP($A48,'Dietary Sample'!$A:$AA,26,FALSE),0)</f>
        <v>18.41</v>
      </c>
      <c r="K48" s="54">
        <f>IFERROR(VLOOKUP($A48,'Dietary Sample'!$A:$AM,35,FALSE)/VLOOKUP($A48,'Dietary Sample'!$A:$AM,18,FALSE),0)</f>
        <v>0.2857142857142857</v>
      </c>
      <c r="L48" s="55">
        <v>0.1529900402577114</v>
      </c>
      <c r="M48" s="52">
        <f>IFERROR(VLOOKUP($A48,'Dietary Sample'!$A:$AA,23,FALSE),0)</f>
        <v>15.272058823529415</v>
      </c>
      <c r="N48" s="52">
        <f>IFERROR(VLOOKUP($A48,'Dietary Sample'!$A:$AA,22,FALSE),0)</f>
        <v>14.68</v>
      </c>
      <c r="O48" s="56">
        <f>IFERROR(VLOOKUP($A48,'Dietary Sample'!$A:$AM,30,FALSE)/VLOOKUP($A48,'Dietary Sample'!$A:$AM,17,FALSE),0)</f>
        <v>0</v>
      </c>
      <c r="P48" s="55">
        <v>0.74309448125174105</v>
      </c>
      <c r="Q48" s="52">
        <f>IFERROR(VLOOKUP($A48,'Housekeeping Sample'!$A:$O,15,FALSE),0)</f>
        <v>17.607142857142854</v>
      </c>
      <c r="R48" s="52">
        <f>IFERROR(VLOOKUP($A48,'Housekeeping Sample'!$A:$O,14,FALSE),0)</f>
        <v>18.239999999999998</v>
      </c>
      <c r="S48" s="56">
        <f>IFERROR(VLOOKUP($A48,'Housekeeping Sample'!$A:$P,16,FALSE)/VLOOKUP($A48,'Housekeeping Sample'!$A:$P,11,FALSE),0)</f>
        <v>0.42857142857142855</v>
      </c>
      <c r="T48" s="55">
        <v>0.25718408373890289</v>
      </c>
      <c r="U48" s="52">
        <f>IFERROR(VLOOKUP($A48,'Activities Sample'!$A:$M,13,FALSE),0)</f>
        <v>16.2</v>
      </c>
      <c r="V48" s="52">
        <f>IFERROR(VLOOKUP($A48,'Activities Sample'!$A:$M,12,FALSE),0)</f>
        <v>16.100000000000001</v>
      </c>
      <c r="W48" s="56">
        <f>IFERROR(VLOOKUP($A48,'Activities Sample'!$A:$O,15,FALSE)/VLOOKUP($A48,'Activities Sample'!$A:$O,9,FALSE),0)</f>
        <v>0.5</v>
      </c>
      <c r="X48" s="55">
        <v>0.20751302306243732</v>
      </c>
    </row>
    <row r="49" spans="1:24" s="57" customFormat="1" x14ac:dyDescent="0.55000000000000004">
      <c r="A49" s="50">
        <v>372</v>
      </c>
      <c r="B49" s="51">
        <v>3</v>
      </c>
      <c r="C49" s="51" t="s">
        <v>37</v>
      </c>
      <c r="D49" s="51" t="s">
        <v>43</v>
      </c>
      <c r="E49" s="52">
        <f>IFERROR(VLOOKUP($A49,'CNA Sample'!$A:$M,13,FALSE),0)</f>
        <v>21.12885714285715</v>
      </c>
      <c r="F49" s="53">
        <f>IFERROR(VLOOKUP($A49,'CNA Sample'!$A:$M,12,FALSE),0)</f>
        <v>20.880000000000003</v>
      </c>
      <c r="G49" s="54">
        <f>IFERROR(VLOOKUP($A49,'CNA Sample'!$A:$O,15,FALSE)/VLOOKUP($A49,'CNA Sample'!$A:$O,9,FALSE),0)</f>
        <v>0.5714285714285714</v>
      </c>
      <c r="H49" s="55">
        <v>4.5055697158500898</v>
      </c>
      <c r="I49" s="52">
        <f>IFERROR(VLOOKUP($A49,'Dietary Sample'!$A:$AA,27,FALSE),0)</f>
        <v>0</v>
      </c>
      <c r="J49" s="52">
        <f>IFERROR(VLOOKUP($A49,'Dietary Sample'!$A:$AA,26,FALSE),0)</f>
        <v>0</v>
      </c>
      <c r="K49" s="54">
        <f>IFERROR(VLOOKUP($A49,'Dietary Sample'!$A:$AM,35,FALSE)/VLOOKUP($A49,'Dietary Sample'!$A:$AM,18,FALSE),0)</f>
        <v>0</v>
      </c>
      <c r="L49" s="55">
        <v>0</v>
      </c>
      <c r="M49" s="52">
        <f>IFERROR(VLOOKUP($A49,'Dietary Sample'!$A:$AA,23,FALSE),0)</f>
        <v>0</v>
      </c>
      <c r="N49" s="52">
        <f>IFERROR(VLOOKUP($A49,'Dietary Sample'!$A:$AA,22,FALSE),0)</f>
        <v>0</v>
      </c>
      <c r="O49" s="56">
        <f>IFERROR(VLOOKUP($A49,'Dietary Sample'!$A:$AM,30,FALSE)/VLOOKUP($A49,'Dietary Sample'!$A:$AM,17,FALSE),0)</f>
        <v>0</v>
      </c>
      <c r="P49" s="55">
        <v>0</v>
      </c>
      <c r="Q49" s="52">
        <f>IFERROR(VLOOKUP($A49,'Housekeeping Sample'!$A:$O,15,FALSE),0)</f>
        <v>17.8475</v>
      </c>
      <c r="R49" s="52">
        <f>IFERROR(VLOOKUP($A49,'Housekeeping Sample'!$A:$O,14,FALSE),0)</f>
        <v>16.53</v>
      </c>
      <c r="S49" s="56">
        <f>IFERROR(VLOOKUP($A49,'Housekeeping Sample'!$A:$P,16,FALSE)/VLOOKUP($A49,'Housekeeping Sample'!$A:$P,11,FALSE),0)</f>
        <v>0.5</v>
      </c>
      <c r="T49" s="55">
        <v>0.56971585008968184</v>
      </c>
      <c r="U49" s="52">
        <f>IFERROR(VLOOKUP($A49,'Activities Sample'!$A:$M,13,FALSE),0)</f>
        <v>0</v>
      </c>
      <c r="V49" s="52">
        <f>IFERROR(VLOOKUP($A49,'Activities Sample'!$A:$M,12,FALSE),0)</f>
        <v>0</v>
      </c>
      <c r="W49" s="56">
        <f>IFERROR(VLOOKUP($A49,'Activities Sample'!$A:$O,15,FALSE)/VLOOKUP($A49,'Activities Sample'!$A:$O,9,FALSE),0)</f>
        <v>0</v>
      </c>
      <c r="X49" s="55">
        <v>0</v>
      </c>
    </row>
    <row r="50" spans="1:24" s="57" customFormat="1" x14ac:dyDescent="0.55000000000000004">
      <c r="A50" s="50">
        <v>380</v>
      </c>
      <c r="B50" s="51">
        <v>3</v>
      </c>
      <c r="C50" s="51" t="s">
        <v>37</v>
      </c>
      <c r="D50" s="51" t="s">
        <v>40</v>
      </c>
      <c r="E50" s="52">
        <f>IFERROR(VLOOKUP($A50,'CNA Sample'!$A:$M,13,FALSE),0)</f>
        <v>24.198952380952363</v>
      </c>
      <c r="F50" s="53">
        <f>IFERROR(VLOOKUP($A50,'CNA Sample'!$A:$M,12,FALSE),0)</f>
        <v>24.99</v>
      </c>
      <c r="G50" s="54">
        <f>IFERROR(VLOOKUP($A50,'CNA Sample'!$A:$O,15,FALSE)/VLOOKUP($A50,'CNA Sample'!$A:$O,9,FALSE),0)</f>
        <v>0.37142857142857144</v>
      </c>
      <c r="H50" s="55">
        <v>2.9879309401834058</v>
      </c>
      <c r="I50" s="52">
        <f>IFERROR(VLOOKUP($A50,'Dietary Sample'!$A:$AA,27,FALSE),0)</f>
        <v>25.488333333333333</v>
      </c>
      <c r="J50" s="52">
        <f>IFERROR(VLOOKUP($A50,'Dietary Sample'!$A:$AA,26,FALSE),0)</f>
        <v>26.41</v>
      </c>
      <c r="K50" s="54">
        <f>IFERROR(VLOOKUP($A50,'Dietary Sample'!$A:$AM,35,FALSE)/VLOOKUP($A50,'Dietary Sample'!$A:$AM,18,FALSE),0)</f>
        <v>0.33333333333333331</v>
      </c>
      <c r="L50" s="55">
        <v>0.19145751879886172</v>
      </c>
      <c r="M50" s="52">
        <f>IFERROR(VLOOKUP($A50,'Dietary Sample'!$A:$AA,23,FALSE),0)</f>
        <v>21.17814814814815</v>
      </c>
      <c r="N50" s="52">
        <f>IFERROR(VLOOKUP($A50,'Dietary Sample'!$A:$AA,22,FALSE),0)</f>
        <v>20.689999999999998</v>
      </c>
      <c r="O50" s="56">
        <f>IFERROR(VLOOKUP($A50,'Dietary Sample'!$A:$AM,30,FALSE)/VLOOKUP($A50,'Dietary Sample'!$A:$AM,17,FALSE),0)</f>
        <v>0.48148148148148145</v>
      </c>
      <c r="P50" s="55">
        <v>0.8615588345948777</v>
      </c>
      <c r="Q50" s="52">
        <f>IFERROR(VLOOKUP($A50,'Housekeeping Sample'!$A:$O,15,FALSE),0)</f>
        <v>20.744000000000003</v>
      </c>
      <c r="R50" s="52">
        <f>IFERROR(VLOOKUP($A50,'Housekeeping Sample'!$A:$O,14,FALSE),0)</f>
        <v>21.215000000000003</v>
      </c>
      <c r="S50" s="56">
        <f>IFERROR(VLOOKUP($A50,'Housekeeping Sample'!$A:$P,16,FALSE)/VLOOKUP($A50,'Housekeeping Sample'!$A:$P,11,FALSE),0)</f>
        <v>0.5</v>
      </c>
      <c r="T50" s="55">
        <v>0.49459444677398773</v>
      </c>
      <c r="U50" s="52">
        <f>IFERROR(VLOOKUP($A50,'Activities Sample'!$A:$M,13,FALSE),0)</f>
        <v>23.297999999999995</v>
      </c>
      <c r="V50" s="52">
        <f>IFERROR(VLOOKUP($A50,'Activities Sample'!$A:$M,12,FALSE),0)</f>
        <v>24.33</v>
      </c>
      <c r="W50" s="56">
        <f>IFERROR(VLOOKUP($A50,'Activities Sample'!$A:$O,15,FALSE)/VLOOKUP($A50,'Activities Sample'!$A:$O,9,FALSE),0)</f>
        <v>0.4</v>
      </c>
      <c r="X50" s="55">
        <v>0.16378917430858142</v>
      </c>
    </row>
    <row r="51" spans="1:24" s="57" customFormat="1" x14ac:dyDescent="0.55000000000000004">
      <c r="A51" s="50">
        <v>382</v>
      </c>
      <c r="B51" s="58">
        <v>2</v>
      </c>
      <c r="C51" s="58" t="s">
        <v>39</v>
      </c>
      <c r="D51" s="58" t="s">
        <v>38</v>
      </c>
      <c r="E51" s="59">
        <f>IFERROR(VLOOKUP($A51,'CNA Sample'!$A:$M,13,FALSE),0)</f>
        <v>17.84178571428572</v>
      </c>
      <c r="F51" s="53">
        <f>IFERROR(VLOOKUP($A51,'CNA Sample'!$A:$M,12,FALSE),0)</f>
        <v>17.600000000000001</v>
      </c>
      <c r="G51" s="60">
        <f>IFERROR(VLOOKUP($A51,'CNA Sample'!$A:$O,15,FALSE)/VLOOKUP($A51,'CNA Sample'!$A:$O,9,FALSE),0)</f>
        <v>0.6071428571428571</v>
      </c>
      <c r="H51" s="55">
        <v>1.7879679415643706</v>
      </c>
      <c r="I51" s="52">
        <f>IFERROR(VLOOKUP($A51,'Dietary Sample'!$A:$AA,27,FALSE),0)</f>
        <v>0</v>
      </c>
      <c r="J51" s="52">
        <f>IFERROR(VLOOKUP($A51,'Dietary Sample'!$A:$AA,26,FALSE),0)</f>
        <v>0</v>
      </c>
      <c r="K51" s="54">
        <f>IFERROR(VLOOKUP($A51,'Dietary Sample'!$A:$AM,35,FALSE)/VLOOKUP($A51,'Dietary Sample'!$A:$AM,18,FALSE),0)</f>
        <v>0</v>
      </c>
      <c r="L51" s="55">
        <v>0</v>
      </c>
      <c r="M51" s="52">
        <f>IFERROR(VLOOKUP($A51,'Dietary Sample'!$A:$AA,23,FALSE),0)</f>
        <v>0</v>
      </c>
      <c r="N51" s="52">
        <f>IFERROR(VLOOKUP($A51,'Dietary Sample'!$A:$AA,22,FALSE),0)</f>
        <v>0</v>
      </c>
      <c r="O51" s="56">
        <f>IFERROR(VLOOKUP($A51,'Dietary Sample'!$A:$AM,30,FALSE)/VLOOKUP($A51,'Dietary Sample'!$A:$AM,17,FALSE),0)</f>
        <v>0</v>
      </c>
      <c r="P51" s="55">
        <v>0</v>
      </c>
      <c r="Q51" s="52">
        <f>IFERROR(VLOOKUP($A51,'Housekeeping Sample'!$A:$O,15,FALSE),0)</f>
        <v>16.607999999999997</v>
      </c>
      <c r="R51" s="52">
        <f>IFERROR(VLOOKUP($A51,'Housekeeping Sample'!$A:$O,14,FALSE),0)</f>
        <v>16.2</v>
      </c>
      <c r="S51" s="56">
        <f>IFERROR(VLOOKUP($A51,'Housekeeping Sample'!$A:$P,16,FALSE)/VLOOKUP($A51,'Housekeeping Sample'!$A:$P,11,FALSE),0)</f>
        <v>0.4</v>
      </c>
      <c r="T51" s="55">
        <v>0.31723648168814039</v>
      </c>
      <c r="U51" s="52">
        <f>IFERROR(VLOOKUP($A51,'Activities Sample'!$A:$M,13,FALSE),0)</f>
        <v>18.640000000000004</v>
      </c>
      <c r="V51" s="52">
        <f>IFERROR(VLOOKUP($A51,'Activities Sample'!$A:$M,12,FALSE),0)</f>
        <v>18.740000000000002</v>
      </c>
      <c r="W51" s="56">
        <f>IFERROR(VLOOKUP($A51,'Activities Sample'!$A:$O,15,FALSE)/VLOOKUP($A51,'Activities Sample'!$A:$O,9,FALSE),0)</f>
        <v>0.5</v>
      </c>
      <c r="X51" s="55">
        <v>0.28957424503736767</v>
      </c>
    </row>
    <row r="52" spans="1:24" s="57" customFormat="1" x14ac:dyDescent="0.55000000000000004">
      <c r="A52" s="50">
        <v>383</v>
      </c>
      <c r="B52" s="58">
        <v>3</v>
      </c>
      <c r="C52" s="58" t="s">
        <v>37</v>
      </c>
      <c r="D52" s="58" t="s">
        <v>38</v>
      </c>
      <c r="E52" s="59">
        <f>IFERROR(VLOOKUP($A52,'CNA Sample'!$A:$M,13,FALSE),0)</f>
        <v>24.132333333333342</v>
      </c>
      <c r="F52" s="53">
        <f>IFERROR(VLOOKUP($A52,'CNA Sample'!$A:$M,12,FALSE),0)</f>
        <v>22.954999999999998</v>
      </c>
      <c r="G52" s="60">
        <f>IFERROR(VLOOKUP($A52,'CNA Sample'!$A:$O,15,FALSE)/VLOOKUP($A52,'CNA Sample'!$A:$O,9,FALSE),0)</f>
        <v>0.53333333333333333</v>
      </c>
      <c r="H52" s="55">
        <v>2.7870417193426045</v>
      </c>
      <c r="I52" s="52">
        <f>IFERROR(VLOOKUP($A52,'Dietary Sample'!$A:$AA,27,FALSE),0)</f>
        <v>22.656666666666666</v>
      </c>
      <c r="J52" s="52">
        <f>IFERROR(VLOOKUP($A52,'Dietary Sample'!$A:$AA,26,FALSE),0)</f>
        <v>23</v>
      </c>
      <c r="K52" s="54">
        <f>IFERROR(VLOOKUP($A52,'Dietary Sample'!$A:$AM,35,FALSE)/VLOOKUP($A52,'Dietary Sample'!$A:$AM,18,FALSE),0)</f>
        <v>0.33333333333333331</v>
      </c>
      <c r="L52" s="55">
        <v>0.24306257901390646</v>
      </c>
      <c r="M52" s="52">
        <f>IFERROR(VLOOKUP($A52,'Dietary Sample'!$A:$AA,23,FALSE),0)</f>
        <v>18.166666666666668</v>
      </c>
      <c r="N52" s="52">
        <f>IFERROR(VLOOKUP($A52,'Dietary Sample'!$A:$AA,22,FALSE),0)</f>
        <v>18</v>
      </c>
      <c r="O52" s="56">
        <f>IFERROR(VLOOKUP($A52,'Dietary Sample'!$A:$AM,30,FALSE)/VLOOKUP($A52,'Dietary Sample'!$A:$AM,17,FALSE),0)</f>
        <v>0</v>
      </c>
      <c r="P52" s="55">
        <v>0.72918773704171935</v>
      </c>
      <c r="Q52" s="52">
        <f>IFERROR(VLOOKUP($A52,'Housekeeping Sample'!$A:$O,15,FALSE),0)</f>
        <v>18.833333333333332</v>
      </c>
      <c r="R52" s="52">
        <f>IFERROR(VLOOKUP($A52,'Housekeeping Sample'!$A:$O,14,FALSE),0)</f>
        <v>18</v>
      </c>
      <c r="S52" s="56">
        <f>IFERROR(VLOOKUP($A52,'Housekeeping Sample'!$A:$P,16,FALSE)/VLOOKUP($A52,'Housekeeping Sample'!$A:$P,11,FALSE),0)</f>
        <v>0</v>
      </c>
      <c r="T52" s="55">
        <v>0.36763590391908973</v>
      </c>
      <c r="U52" s="52">
        <f>IFERROR(VLOOKUP($A52,'Activities Sample'!$A:$M,13,FALSE),0)</f>
        <v>0</v>
      </c>
      <c r="V52" s="52">
        <f>IFERROR(VLOOKUP($A52,'Activities Sample'!$A:$M,12,FALSE),0)</f>
        <v>0</v>
      </c>
      <c r="W52" s="56">
        <f>IFERROR(VLOOKUP($A52,'Activities Sample'!$A:$O,15,FALSE)/VLOOKUP($A52,'Activities Sample'!$A:$O,9,FALSE),0)</f>
        <v>0</v>
      </c>
      <c r="X52" s="55">
        <v>0</v>
      </c>
    </row>
    <row r="53" spans="1:24" s="57" customFormat="1" x14ac:dyDescent="0.55000000000000004">
      <c r="A53" s="50">
        <v>385</v>
      </c>
      <c r="B53" s="51">
        <v>2</v>
      </c>
      <c r="C53" s="51" t="s">
        <v>51</v>
      </c>
      <c r="D53" s="51" t="s">
        <v>43</v>
      </c>
      <c r="E53" s="52">
        <f>IFERROR(VLOOKUP($A53,'CNA Sample'!$A:$M,13,FALSE),0)</f>
        <v>21.892857142857142</v>
      </c>
      <c r="F53" s="53">
        <f>IFERROR(VLOOKUP($A53,'CNA Sample'!$A:$M,12,FALSE),0)</f>
        <v>21.5</v>
      </c>
      <c r="G53" s="54">
        <f>IFERROR(VLOOKUP($A53,'CNA Sample'!$A:$O,15,FALSE)/VLOOKUP($A53,'CNA Sample'!$A:$O,9,FALSE),0)</f>
        <v>0.52380952380952384</v>
      </c>
      <c r="H53" s="55">
        <v>1.9779830771887412</v>
      </c>
      <c r="I53" s="52">
        <f>IFERROR(VLOOKUP($A53,'Dietary Sample'!$A:$AA,27,FALSE),0)</f>
        <v>18.54</v>
      </c>
      <c r="J53" s="52">
        <f>IFERROR(VLOOKUP($A53,'Dietary Sample'!$A:$AA,26,FALSE),0)</f>
        <v>18.54</v>
      </c>
      <c r="K53" s="54">
        <f>IFERROR(VLOOKUP($A53,'Dietary Sample'!$A:$AM,35,FALSE)/VLOOKUP($A53,'Dietary Sample'!$A:$AM,18,FALSE),0)</f>
        <v>0.33333333333333331</v>
      </c>
      <c r="L53" s="55">
        <v>0.24704282507338973</v>
      </c>
      <c r="M53" s="52">
        <f>IFERROR(VLOOKUP($A53,'Dietary Sample'!$A:$AA,23,FALSE),0)</f>
        <v>15.595555555555555</v>
      </c>
      <c r="N53" s="52">
        <f>IFERROR(VLOOKUP($A53,'Dietary Sample'!$A:$AA,22,FALSE),0)</f>
        <v>15.45</v>
      </c>
      <c r="O53" s="56">
        <f>IFERROR(VLOOKUP($A53,'Dietary Sample'!$A:$AM,30,FALSE)/VLOOKUP($A53,'Dietary Sample'!$A:$AM,17,FALSE),0)</f>
        <v>0.33333333333333331</v>
      </c>
      <c r="P53" s="55">
        <v>0.74112847522016922</v>
      </c>
      <c r="Q53" s="52">
        <f>IFERROR(VLOOKUP($A53,'Housekeeping Sample'!$A:$O,15,FALSE),0)</f>
        <v>16.945</v>
      </c>
      <c r="R53" s="52">
        <f>IFERROR(VLOOKUP($A53,'Housekeeping Sample'!$A:$O,14,FALSE),0)</f>
        <v>17.005000000000003</v>
      </c>
      <c r="S53" s="56">
        <f>IFERROR(VLOOKUP($A53,'Housekeeping Sample'!$A:$P,16,FALSE)/VLOOKUP($A53,'Housekeeping Sample'!$A:$P,11,FALSE),0)</f>
        <v>0.5</v>
      </c>
      <c r="T53" s="55">
        <v>0.21645657054049386</v>
      </c>
      <c r="U53" s="52">
        <f>IFERROR(VLOOKUP($A53,'Activities Sample'!$A:$M,13,FALSE),0)</f>
        <v>16.638333333333332</v>
      </c>
      <c r="V53" s="52">
        <f>IFERROR(VLOOKUP($A53,'Activities Sample'!$A:$M,12,FALSE),0)</f>
        <v>15.97</v>
      </c>
      <c r="W53" s="56">
        <f>IFERROR(VLOOKUP($A53,'Activities Sample'!$A:$O,15,FALSE)/VLOOKUP($A53,'Activities Sample'!$A:$O,9,FALSE),0)</f>
        <v>0.83333333333333337</v>
      </c>
      <c r="X53" s="55">
        <v>0.33975133828354342</v>
      </c>
    </row>
    <row r="54" spans="1:24" s="57" customFormat="1" x14ac:dyDescent="0.55000000000000004">
      <c r="A54" s="50">
        <v>420</v>
      </c>
      <c r="B54" s="51">
        <v>1</v>
      </c>
      <c r="C54" s="51" t="s">
        <v>50</v>
      </c>
      <c r="D54" s="51" t="s">
        <v>45</v>
      </c>
      <c r="E54" s="52">
        <f>IFERROR(VLOOKUP($A54,'CNA Sample'!$A:$M,13,FALSE),0)</f>
        <v>17.562777777777779</v>
      </c>
      <c r="F54" s="53">
        <f>IFERROR(VLOOKUP($A54,'CNA Sample'!$A:$M,12,FALSE),0)</f>
        <v>17</v>
      </c>
      <c r="G54" s="54">
        <f>IFERROR(VLOOKUP($A54,'CNA Sample'!$A:$O,15,FALSE)/VLOOKUP($A54,'CNA Sample'!$A:$O,9,FALSE),0)</f>
        <v>0.66666666666666663</v>
      </c>
      <c r="H54" s="55">
        <v>1.7257681460590768</v>
      </c>
      <c r="I54" s="52">
        <f>IFERROR(VLOOKUP($A54,'Dietary Sample'!$A:$AA,27,FALSE),0)</f>
        <v>15.875</v>
      </c>
      <c r="J54" s="52">
        <f>IFERROR(VLOOKUP($A54,'Dietary Sample'!$A:$AA,26,FALSE),0)</f>
        <v>15.875</v>
      </c>
      <c r="K54" s="54">
        <f>IFERROR(VLOOKUP($A54,'Dietary Sample'!$A:$AM,35,FALSE)/VLOOKUP($A54,'Dietary Sample'!$A:$AM,18,FALSE),0)</f>
        <v>0.5</v>
      </c>
      <c r="L54" s="55">
        <v>0.34092325961110287</v>
      </c>
      <c r="M54" s="52">
        <f>IFERROR(VLOOKUP($A54,'Dietary Sample'!$A:$AA,23,FALSE),0)</f>
        <v>16.25</v>
      </c>
      <c r="N54" s="52">
        <f>IFERROR(VLOOKUP($A54,'Dietary Sample'!$A:$AA,22,FALSE),0)</f>
        <v>16.5</v>
      </c>
      <c r="O54" s="56">
        <f>IFERROR(VLOOKUP($A54,'Dietary Sample'!$A:$AM,30,FALSE)/VLOOKUP($A54,'Dietary Sample'!$A:$AM,17,FALSE),0)</f>
        <v>0.33333333333333331</v>
      </c>
      <c r="P54" s="55">
        <v>0.51138488941665428</v>
      </c>
      <c r="Q54" s="52">
        <f>IFERROR(VLOOKUP($A54,'Housekeeping Sample'!$A:$O,15,FALSE),0)</f>
        <v>14.428571428571429</v>
      </c>
      <c r="R54" s="52">
        <f>IFERROR(VLOOKUP($A54,'Housekeeping Sample'!$A:$O,14,FALSE),0)</f>
        <v>14</v>
      </c>
      <c r="S54" s="56">
        <f>IFERROR(VLOOKUP($A54,'Housekeeping Sample'!$A:$P,16,FALSE)/VLOOKUP($A54,'Housekeeping Sample'!$A:$P,11,FALSE),0)</f>
        <v>0.14285714285714285</v>
      </c>
      <c r="T54" s="55">
        <v>0.57109989609618528</v>
      </c>
      <c r="U54" s="52">
        <f>IFERROR(VLOOKUP($A54,'Activities Sample'!$A:$M,13,FALSE),0)</f>
        <v>13</v>
      </c>
      <c r="V54" s="52">
        <f>IFERROR(VLOOKUP($A54,'Activities Sample'!$A:$M,12,FALSE),0)</f>
        <v>13</v>
      </c>
      <c r="W54" s="56">
        <f>IFERROR(VLOOKUP($A54,'Activities Sample'!$A:$O,15,FALSE)/VLOOKUP($A54,'Activities Sample'!$A:$O,9,FALSE),0)</f>
        <v>0</v>
      </c>
      <c r="X54" s="55">
        <v>0.34117559744693482</v>
      </c>
    </row>
    <row r="55" spans="1:24" s="57" customFormat="1" x14ac:dyDescent="0.55000000000000004">
      <c r="A55" s="50">
        <v>421</v>
      </c>
      <c r="B55" s="58">
        <v>1</v>
      </c>
      <c r="C55" s="58" t="s">
        <v>41</v>
      </c>
      <c r="D55" s="58" t="s">
        <v>43</v>
      </c>
      <c r="E55" s="59">
        <f>IFERROR(VLOOKUP($A55,'CNA Sample'!$A:$M,13,FALSE),0)</f>
        <v>18.662857142857142</v>
      </c>
      <c r="F55" s="53">
        <f>IFERROR(VLOOKUP($A55,'CNA Sample'!$A:$M,12,FALSE),0)</f>
        <v>18.59</v>
      </c>
      <c r="G55" s="60">
        <f>IFERROR(VLOOKUP($A55,'CNA Sample'!$A:$O,15,FALSE)/VLOOKUP($A55,'CNA Sample'!$A:$O,9,FALSE),0)</f>
        <v>0.5714285714285714</v>
      </c>
      <c r="H55" s="55">
        <v>1.9882334359946301</v>
      </c>
      <c r="I55" s="52">
        <f>IFERROR(VLOOKUP($A55,'Dietary Sample'!$A:$AA,27,FALSE),0)</f>
        <v>17.346</v>
      </c>
      <c r="J55" s="52">
        <f>IFERROR(VLOOKUP($A55,'Dietary Sample'!$A:$AA,26,FALSE),0)</f>
        <v>17.5</v>
      </c>
      <c r="K55" s="54">
        <f>IFERROR(VLOOKUP($A55,'Dietary Sample'!$A:$AM,35,FALSE)/VLOOKUP($A55,'Dietary Sample'!$A:$AM,18,FALSE),0)</f>
        <v>0.4</v>
      </c>
      <c r="L55" s="55">
        <v>0.47531616294942525</v>
      </c>
      <c r="M55" s="52">
        <f>IFERROR(VLOOKUP($A55,'Dietary Sample'!$A:$AA,23,FALSE),0)</f>
        <v>14.894444444444446</v>
      </c>
      <c r="N55" s="52">
        <f>IFERROR(VLOOKUP($A55,'Dietary Sample'!$A:$AA,22,FALSE),0)</f>
        <v>14.48</v>
      </c>
      <c r="O55" s="56">
        <f>IFERROR(VLOOKUP($A55,'Dietary Sample'!$A:$AM,30,FALSE)/VLOOKUP($A55,'Dietary Sample'!$A:$AM,17,FALSE),0)</f>
        <v>0.22222222222222221</v>
      </c>
      <c r="P55" s="55">
        <v>0.85556909330896547</v>
      </c>
      <c r="Q55" s="52">
        <f>IFERROR(VLOOKUP($A55,'Housekeeping Sample'!$A:$O,15,FALSE),0)</f>
        <v>14.746666666666668</v>
      </c>
      <c r="R55" s="52">
        <f>IFERROR(VLOOKUP($A55,'Housekeeping Sample'!$A:$O,14,FALSE),0)</f>
        <v>14.335000000000001</v>
      </c>
      <c r="S55" s="56">
        <f>IFERROR(VLOOKUP($A55,'Housekeeping Sample'!$A:$P,16,FALSE)/VLOOKUP($A55,'Housekeeping Sample'!$A:$P,11,FALSE),0)</f>
        <v>0.5</v>
      </c>
      <c r="T55" s="55">
        <v>0.45763247255784567</v>
      </c>
      <c r="U55" s="52">
        <f>IFERROR(VLOOKUP($A55,'Activities Sample'!$A:$M,13,FALSE),0)</f>
        <v>15.615714285714287</v>
      </c>
      <c r="V55" s="52">
        <f>IFERROR(VLOOKUP($A55,'Activities Sample'!$A:$M,12,FALSE),0)</f>
        <v>15.6</v>
      </c>
      <c r="W55" s="56">
        <f>IFERROR(VLOOKUP($A55,'Activities Sample'!$A:$O,15,FALSE)/VLOOKUP($A55,'Activities Sample'!$A:$O,9,FALSE),0)</f>
        <v>0.5714285714285714</v>
      </c>
      <c r="X55" s="55">
        <v>0.68372423596304188</v>
      </c>
    </row>
    <row r="56" spans="1:24" s="57" customFormat="1" x14ac:dyDescent="0.55000000000000004">
      <c r="A56" s="50">
        <v>423</v>
      </c>
      <c r="B56" s="51">
        <v>2</v>
      </c>
      <c r="C56" s="51" t="s">
        <v>39</v>
      </c>
      <c r="D56" s="51" t="s">
        <v>40</v>
      </c>
      <c r="E56" s="52">
        <f>IFERROR(VLOOKUP($A56,'CNA Sample'!$A:$M,13,FALSE),0)</f>
        <v>20.875</v>
      </c>
      <c r="F56" s="53">
        <f>IFERROR(VLOOKUP($A56,'CNA Sample'!$A:$M,12,FALSE),0)</f>
        <v>21.625</v>
      </c>
      <c r="G56" s="54">
        <f>IFERROR(VLOOKUP($A56,'CNA Sample'!$A:$O,15,FALSE)/VLOOKUP($A56,'CNA Sample'!$A:$O,9,FALSE),0)</f>
        <v>0.41176470588235292</v>
      </c>
      <c r="H56" s="55">
        <v>3.0729254689876626</v>
      </c>
      <c r="I56" s="52">
        <f>IFERROR(VLOOKUP($A56,'Dietary Sample'!$A:$AA,27,FALSE),0)</f>
        <v>17.583333333333332</v>
      </c>
      <c r="J56" s="52">
        <f>IFERROR(VLOOKUP($A56,'Dietary Sample'!$A:$AA,26,FALSE),0)</f>
        <v>17.75</v>
      </c>
      <c r="K56" s="54">
        <f>IFERROR(VLOOKUP($A56,'Dietary Sample'!$A:$AM,35,FALSE)/VLOOKUP($A56,'Dietary Sample'!$A:$AM,18,FALSE),0)</f>
        <v>0.5</v>
      </c>
      <c r="L56" s="55">
        <v>0.69376373162075378</v>
      </c>
      <c r="M56" s="52">
        <f>IFERROR(VLOOKUP($A56,'Dietary Sample'!$A:$AA,23,FALSE),0)</f>
        <v>14.5</v>
      </c>
      <c r="N56" s="52">
        <f>IFERROR(VLOOKUP($A56,'Dietary Sample'!$A:$AA,22,FALSE),0)</f>
        <v>14</v>
      </c>
      <c r="O56" s="56">
        <f>IFERROR(VLOOKUP($A56,'Dietary Sample'!$A:$AM,30,FALSE)/VLOOKUP($A56,'Dietary Sample'!$A:$AM,17,FALSE),0)</f>
        <v>0</v>
      </c>
      <c r="P56" s="55">
        <v>0.69376373162075378</v>
      </c>
      <c r="Q56" s="52">
        <f>IFERROR(VLOOKUP($A56,'Housekeeping Sample'!$A:$O,15,FALSE),0)</f>
        <v>14.178571428571429</v>
      </c>
      <c r="R56" s="52">
        <f>IFERROR(VLOOKUP($A56,'Housekeeping Sample'!$A:$O,14,FALSE),0)</f>
        <v>14</v>
      </c>
      <c r="S56" s="56">
        <f>IFERROR(VLOOKUP($A56,'Housekeeping Sample'!$A:$P,16,FALSE)/VLOOKUP($A56,'Housekeeping Sample'!$A:$P,11,FALSE),0)</f>
        <v>0</v>
      </c>
      <c r="T56" s="55">
        <v>0.6224438059827615</v>
      </c>
      <c r="U56" s="52">
        <f>IFERROR(VLOOKUP($A56,'Activities Sample'!$A:$M,13,FALSE),0)</f>
        <v>14.333333333333334</v>
      </c>
      <c r="V56" s="52">
        <f>IFERROR(VLOOKUP($A56,'Activities Sample'!$A:$M,12,FALSE),0)</f>
        <v>14</v>
      </c>
      <c r="W56" s="56">
        <f>IFERROR(VLOOKUP($A56,'Activities Sample'!$A:$O,15,FALSE)/VLOOKUP($A56,'Activities Sample'!$A:$O,9,FALSE),0)</f>
        <v>0.66666666666666663</v>
      </c>
      <c r="X56" s="55">
        <v>0.39893527125232381</v>
      </c>
    </row>
    <row r="57" spans="1:24" s="57" customFormat="1" x14ac:dyDescent="0.55000000000000004">
      <c r="A57" s="50">
        <v>433</v>
      </c>
      <c r="B57" s="51">
        <v>1</v>
      </c>
      <c r="C57" s="51" t="s">
        <v>41</v>
      </c>
      <c r="D57" s="51" t="s">
        <v>43</v>
      </c>
      <c r="E57" s="52">
        <f>IFERROR(VLOOKUP($A57,'CNA Sample'!$A:$M,13,FALSE),0)</f>
        <v>19.191538461538475</v>
      </c>
      <c r="F57" s="53">
        <f>IFERROR(VLOOKUP($A57,'CNA Sample'!$A:$M,12,FALSE),0)</f>
        <v>19.190000000000001</v>
      </c>
      <c r="G57" s="54">
        <f>IFERROR(VLOOKUP($A57,'CNA Sample'!$A:$O,15,FALSE)/VLOOKUP($A57,'CNA Sample'!$A:$O,9,FALSE),0)</f>
        <v>0.84615384615384615</v>
      </c>
      <c r="H57" s="55">
        <v>1.7063824221815329</v>
      </c>
      <c r="I57" s="52">
        <f>IFERROR(VLOOKUP($A57,'Dietary Sample'!$A:$AA,27,FALSE),0)</f>
        <v>0</v>
      </c>
      <c r="J57" s="52">
        <f>IFERROR(VLOOKUP($A57,'Dietary Sample'!$A:$AA,26,FALSE),0)</f>
        <v>0</v>
      </c>
      <c r="K57" s="54">
        <f>IFERROR(VLOOKUP($A57,'Dietary Sample'!$A:$AM,35,FALSE)/VLOOKUP($A57,'Dietary Sample'!$A:$AM,18,FALSE),0)</f>
        <v>0</v>
      </c>
      <c r="L57" s="55">
        <v>0</v>
      </c>
      <c r="M57" s="52">
        <f>IFERROR(VLOOKUP($A57,'Dietary Sample'!$A:$AA,23,FALSE),0)</f>
        <v>0</v>
      </c>
      <c r="N57" s="52">
        <f>IFERROR(VLOOKUP($A57,'Dietary Sample'!$A:$AA,22,FALSE),0)</f>
        <v>0</v>
      </c>
      <c r="O57" s="56">
        <f>IFERROR(VLOOKUP($A57,'Dietary Sample'!$A:$AM,30,FALSE)/VLOOKUP($A57,'Dietary Sample'!$A:$AM,17,FALSE),0)</f>
        <v>0</v>
      </c>
      <c r="P57" s="55">
        <v>0</v>
      </c>
      <c r="Q57" s="52">
        <f>IFERROR(VLOOKUP($A57,'Housekeeping Sample'!$A:$O,15,FALSE),0)</f>
        <v>0</v>
      </c>
      <c r="R57" s="52">
        <f>IFERROR(VLOOKUP($A57,'Housekeeping Sample'!$A:$O,14,FALSE),0)</f>
        <v>0</v>
      </c>
      <c r="S57" s="56">
        <f>IFERROR(VLOOKUP($A57,'Housekeeping Sample'!$A:$P,16,FALSE)/VLOOKUP($A57,'Housekeeping Sample'!$A:$P,11,FALSE),0)</f>
        <v>0</v>
      </c>
      <c r="T57" s="55">
        <v>0</v>
      </c>
      <c r="U57" s="52">
        <f>IFERROR(VLOOKUP($A57,'Activities Sample'!$A:$M,13,FALSE),0)</f>
        <v>0</v>
      </c>
      <c r="V57" s="52">
        <f>IFERROR(VLOOKUP($A57,'Activities Sample'!$A:$M,12,FALSE),0)</f>
        <v>0</v>
      </c>
      <c r="W57" s="56">
        <f>IFERROR(VLOOKUP($A57,'Activities Sample'!$A:$O,15,FALSE)/VLOOKUP($A57,'Activities Sample'!$A:$O,9,FALSE),0)</f>
        <v>0</v>
      </c>
      <c r="X57" s="55">
        <v>0</v>
      </c>
    </row>
    <row r="58" spans="1:24" s="57" customFormat="1" x14ac:dyDescent="0.55000000000000004">
      <c r="A58" s="50">
        <v>452</v>
      </c>
      <c r="B58" s="51">
        <v>1</v>
      </c>
      <c r="C58" s="51" t="s">
        <v>41</v>
      </c>
      <c r="D58" s="51" t="s">
        <v>43</v>
      </c>
      <c r="E58" s="52">
        <f>IFERROR(VLOOKUP($A58,'CNA Sample'!$A:$M,13,FALSE),0)</f>
        <v>19.035</v>
      </c>
      <c r="F58" s="53">
        <f>IFERROR(VLOOKUP($A58,'CNA Sample'!$A:$M,12,FALSE),0)</f>
        <v>18.64</v>
      </c>
      <c r="G58" s="54">
        <f>IFERROR(VLOOKUP($A58,'CNA Sample'!$A:$O,15,FALSE)/VLOOKUP($A58,'CNA Sample'!$A:$O,9,FALSE),0)</f>
        <v>0.66666666666666663</v>
      </c>
      <c r="H58" s="55">
        <v>1.7090984398729807</v>
      </c>
      <c r="I58" s="52">
        <f>IFERROR(VLOOKUP($A58,'Dietary Sample'!$A:$AA,27,FALSE),0)</f>
        <v>20.734000000000002</v>
      </c>
      <c r="J58" s="52">
        <f>IFERROR(VLOOKUP($A58,'Dietary Sample'!$A:$AA,26,FALSE),0)</f>
        <v>19.12</v>
      </c>
      <c r="K58" s="54">
        <f>IFERROR(VLOOKUP($A58,'Dietary Sample'!$A:$AM,35,FALSE)/VLOOKUP($A58,'Dietary Sample'!$A:$AM,18,FALSE),0)</f>
        <v>0.4</v>
      </c>
      <c r="L58" s="55">
        <v>0.4242292292823841</v>
      </c>
      <c r="M58" s="52">
        <f>IFERROR(VLOOKUP($A58,'Dietary Sample'!$A:$AA,23,FALSE),0)</f>
        <v>17.0625</v>
      </c>
      <c r="N58" s="52">
        <f>IFERROR(VLOOKUP($A58,'Dietary Sample'!$A:$AA,22,FALSE),0)</f>
        <v>16.45</v>
      </c>
      <c r="O58" s="56">
        <f>IFERROR(VLOOKUP($A58,'Dietary Sample'!$A:$AM,30,FALSE)/VLOOKUP($A58,'Dietary Sample'!$A:$AM,17,FALSE),0)</f>
        <v>0.375</v>
      </c>
      <c r="P58" s="55">
        <v>0.67876676685181447</v>
      </c>
      <c r="Q58" s="52">
        <f>IFERROR(VLOOKUP($A58,'Housekeeping Sample'!$A:$O,15,FALSE),0)</f>
        <v>18.585000000000001</v>
      </c>
      <c r="R58" s="52">
        <f>IFERROR(VLOOKUP($A58,'Housekeeping Sample'!$A:$O,14,FALSE),0)</f>
        <v>18.585000000000001</v>
      </c>
      <c r="S58" s="56">
        <f>IFERROR(VLOOKUP($A58,'Housekeeping Sample'!$A:$P,16,FALSE)/VLOOKUP($A58,'Housekeeping Sample'!$A:$P,11,FALSE),0)</f>
        <v>0.5</v>
      </c>
      <c r="T58" s="55">
        <v>0.33066408946569104</v>
      </c>
      <c r="U58" s="52">
        <f>IFERROR(VLOOKUP($A58,'Activities Sample'!$A:$M,13,FALSE),0)</f>
        <v>16.496666666666666</v>
      </c>
      <c r="V58" s="52">
        <f>IFERROR(VLOOKUP($A58,'Activities Sample'!$A:$M,12,FALSE),0)</f>
        <v>16.22</v>
      </c>
      <c r="W58" s="56">
        <f>IFERROR(VLOOKUP($A58,'Activities Sample'!$A:$O,15,FALSE)/VLOOKUP($A58,'Activities Sample'!$A:$O,9,FALSE),0)</f>
        <v>0.66666666666666663</v>
      </c>
      <c r="X58" s="55">
        <v>0.53720833908601406</v>
      </c>
    </row>
    <row r="59" spans="1:24" s="57" customFormat="1" x14ac:dyDescent="0.55000000000000004">
      <c r="A59" s="50">
        <v>459</v>
      </c>
      <c r="B59" s="51">
        <v>2</v>
      </c>
      <c r="C59" s="51" t="s">
        <v>48</v>
      </c>
      <c r="D59" s="51" t="s">
        <v>43</v>
      </c>
      <c r="E59" s="52">
        <f>IFERROR(VLOOKUP($A59,'CNA Sample'!$A:$M,13,FALSE),0)</f>
        <v>0</v>
      </c>
      <c r="F59" s="53">
        <f>IFERROR(VLOOKUP($A59,'CNA Sample'!$A:$M,12,FALSE),0)</f>
        <v>0</v>
      </c>
      <c r="G59" s="54">
        <f>IFERROR(VLOOKUP($A59,'CNA Sample'!$A:$O,15,FALSE)/VLOOKUP($A59,'CNA Sample'!$A:$O,9,FALSE),0)</f>
        <v>0</v>
      </c>
      <c r="H59" s="55">
        <v>0</v>
      </c>
      <c r="I59" s="52">
        <f>IFERROR(VLOOKUP($A59,'Dietary Sample'!$A:$AA,27,FALSE),0)</f>
        <v>0</v>
      </c>
      <c r="J59" s="52">
        <f>IFERROR(VLOOKUP($A59,'Dietary Sample'!$A:$AA,26,FALSE),0)</f>
        <v>0</v>
      </c>
      <c r="K59" s="54">
        <f>IFERROR(VLOOKUP($A59,'Dietary Sample'!$A:$AM,35,FALSE)/VLOOKUP($A59,'Dietary Sample'!$A:$AM,18,FALSE),0)</f>
        <v>0</v>
      </c>
      <c r="L59" s="55">
        <v>0</v>
      </c>
      <c r="M59" s="52">
        <f>IFERROR(VLOOKUP($A59,'Dietary Sample'!$A:$AA,23,FALSE),0)</f>
        <v>0</v>
      </c>
      <c r="N59" s="52">
        <f>IFERROR(VLOOKUP($A59,'Dietary Sample'!$A:$AA,22,FALSE),0)</f>
        <v>0</v>
      </c>
      <c r="O59" s="56">
        <f>IFERROR(VLOOKUP($A59,'Dietary Sample'!$A:$AM,30,FALSE)/VLOOKUP($A59,'Dietary Sample'!$A:$AM,17,FALSE),0)</f>
        <v>0</v>
      </c>
      <c r="P59" s="55">
        <v>0</v>
      </c>
      <c r="Q59" s="52">
        <f>IFERROR(VLOOKUP($A59,'Housekeeping Sample'!$A:$O,15,FALSE),0)</f>
        <v>0</v>
      </c>
      <c r="R59" s="52">
        <f>IFERROR(VLOOKUP($A59,'Housekeeping Sample'!$A:$O,14,FALSE),0)</f>
        <v>0</v>
      </c>
      <c r="S59" s="56">
        <f>IFERROR(VLOOKUP($A59,'Housekeeping Sample'!$A:$P,16,FALSE)/VLOOKUP($A59,'Housekeeping Sample'!$A:$P,11,FALSE),0)</f>
        <v>0</v>
      </c>
      <c r="T59" s="55">
        <v>0</v>
      </c>
      <c r="U59" s="52">
        <f>IFERROR(VLOOKUP($A59,'Activities Sample'!$A:$M,13,FALSE),0)</f>
        <v>16.059999999999999</v>
      </c>
      <c r="V59" s="52">
        <f>IFERROR(VLOOKUP($A59,'Activities Sample'!$A:$M,12,FALSE),0)</f>
        <v>16.27</v>
      </c>
      <c r="W59" s="56">
        <f>IFERROR(VLOOKUP($A59,'Activities Sample'!$A:$O,15,FALSE)/VLOOKUP($A59,'Activities Sample'!$A:$O,9,FALSE),0)</f>
        <v>0.33333333333333331</v>
      </c>
      <c r="X59" s="55">
        <v>0.3768713978787982</v>
      </c>
    </row>
    <row r="60" spans="1:24" s="57" customFormat="1" x14ac:dyDescent="0.55000000000000004">
      <c r="A60" s="50">
        <v>479</v>
      </c>
      <c r="B60" s="51">
        <v>3</v>
      </c>
      <c r="C60" s="51" t="s">
        <v>37</v>
      </c>
      <c r="D60" s="51" t="s">
        <v>45</v>
      </c>
      <c r="E60" s="52">
        <f>IFERROR(VLOOKUP($A60,'CNA Sample'!$A:$M,13,FALSE),0)</f>
        <v>19.952380952380953</v>
      </c>
      <c r="F60" s="53">
        <f>IFERROR(VLOOKUP($A60,'CNA Sample'!$A:$M,12,FALSE),0)</f>
        <v>20</v>
      </c>
      <c r="G60" s="54">
        <f>IFERROR(VLOOKUP($A60,'CNA Sample'!$A:$O,15,FALSE)/VLOOKUP($A60,'CNA Sample'!$A:$O,9,FALSE),0)</f>
        <v>4.7619047619047616E-2</v>
      </c>
      <c r="H60" s="55">
        <v>2.0325916164022506</v>
      </c>
      <c r="I60" s="52">
        <f>IFERROR(VLOOKUP($A60,'Dietary Sample'!$A:$AA,27,FALSE),0)</f>
        <v>18.583333333333332</v>
      </c>
      <c r="J60" s="52">
        <f>IFERROR(VLOOKUP($A60,'Dietary Sample'!$A:$AA,26,FALSE),0)</f>
        <v>19.25</v>
      </c>
      <c r="K60" s="54">
        <f>IFERROR(VLOOKUP($A60,'Dietary Sample'!$A:$AM,35,FALSE)/VLOOKUP($A60,'Dietary Sample'!$A:$AM,18,FALSE),0)</f>
        <v>0.33333333333333331</v>
      </c>
      <c r="L60" s="55">
        <v>0.29575751431902275</v>
      </c>
      <c r="M60" s="52">
        <f>IFERROR(VLOOKUP($A60,'Dietary Sample'!$A:$AA,23,FALSE),0)</f>
        <v>14.833333333333334</v>
      </c>
      <c r="N60" s="52">
        <f>IFERROR(VLOOKUP($A60,'Dietary Sample'!$A:$AA,22,FALSE),0)</f>
        <v>15</v>
      </c>
      <c r="O60" s="56">
        <f>IFERROR(VLOOKUP($A60,'Dietary Sample'!$A:$AM,30,FALSE)/VLOOKUP($A60,'Dietary Sample'!$A:$AM,17,FALSE),0)</f>
        <v>0.33333333333333331</v>
      </c>
      <c r="P60" s="55">
        <v>0.5915150286380455</v>
      </c>
      <c r="Q60" s="52">
        <f>IFERROR(VLOOKUP($A60,'Housekeeping Sample'!$A:$O,15,FALSE),0)</f>
        <v>0</v>
      </c>
      <c r="R60" s="52">
        <f>IFERROR(VLOOKUP($A60,'Housekeeping Sample'!$A:$O,14,FALSE),0)</f>
        <v>0</v>
      </c>
      <c r="S60" s="56">
        <f>IFERROR(VLOOKUP($A60,'Housekeeping Sample'!$A:$P,16,FALSE)/VLOOKUP($A60,'Housekeeping Sample'!$A:$P,11,FALSE),0)</f>
        <v>0</v>
      </c>
      <c r="T60" s="55">
        <v>0</v>
      </c>
      <c r="U60" s="52">
        <f>IFERROR(VLOOKUP($A60,'Activities Sample'!$A:$M,13,FALSE),0)</f>
        <v>15.55</v>
      </c>
      <c r="V60" s="52">
        <f>IFERROR(VLOOKUP($A60,'Activities Sample'!$A:$M,12,FALSE),0)</f>
        <v>15.5</v>
      </c>
      <c r="W60" s="56">
        <f>IFERROR(VLOOKUP($A60,'Activities Sample'!$A:$O,15,FALSE)/VLOOKUP($A60,'Activities Sample'!$A:$O,9,FALSE),0)</f>
        <v>0.8</v>
      </c>
      <c r="X60" s="55">
        <v>0.50555020528156525</v>
      </c>
    </row>
    <row r="61" spans="1:24" s="57" customFormat="1" x14ac:dyDescent="0.55000000000000004">
      <c r="A61" s="50">
        <v>486</v>
      </c>
      <c r="B61" s="51">
        <v>3</v>
      </c>
      <c r="C61" s="51" t="s">
        <v>37</v>
      </c>
      <c r="D61" s="51" t="s">
        <v>40</v>
      </c>
      <c r="E61" s="52">
        <f>IFERROR(VLOOKUP($A61,'CNA Sample'!$A:$M,13,FALSE),0)</f>
        <v>20.705178571428579</v>
      </c>
      <c r="F61" s="53">
        <f>IFERROR(VLOOKUP($A61,'CNA Sample'!$A:$M,12,FALSE),0)</f>
        <v>20.5</v>
      </c>
      <c r="G61" s="54">
        <f>IFERROR(VLOOKUP($A61,'CNA Sample'!$A:$O,15,FALSE)/VLOOKUP($A61,'CNA Sample'!$A:$O,9,FALSE),0)</f>
        <v>0.5892857142857143</v>
      </c>
      <c r="H61" s="55">
        <v>3.5506080114449214</v>
      </c>
      <c r="I61" s="52">
        <f>IFERROR(VLOOKUP($A61,'Dietary Sample'!$A:$AA,27,FALSE),0)</f>
        <v>20.5</v>
      </c>
      <c r="J61" s="52">
        <f>IFERROR(VLOOKUP($A61,'Dietary Sample'!$A:$AA,26,FALSE),0)</f>
        <v>20.5</v>
      </c>
      <c r="K61" s="54">
        <f>IFERROR(VLOOKUP($A61,'Dietary Sample'!$A:$AM,35,FALSE)/VLOOKUP($A61,'Dietary Sample'!$A:$AM,18,FALSE),0)</f>
        <v>0.5</v>
      </c>
      <c r="L61" s="55">
        <v>0.25301901876630478</v>
      </c>
      <c r="M61" s="52">
        <f>IFERROR(VLOOKUP($A61,'Dietary Sample'!$A:$AA,23,FALSE),0)</f>
        <v>16.399333333333335</v>
      </c>
      <c r="N61" s="52">
        <f>IFERROR(VLOOKUP($A61,'Dietary Sample'!$A:$AA,22,FALSE),0)</f>
        <v>16.25</v>
      </c>
      <c r="O61" s="56">
        <f>IFERROR(VLOOKUP($A61,'Dietary Sample'!$A:$AM,30,FALSE)/VLOOKUP($A61,'Dietary Sample'!$A:$AM,17,FALSE),0)</f>
        <v>0.13333333333333333</v>
      </c>
      <c r="P61" s="55">
        <v>1.8976426407472859</v>
      </c>
      <c r="Q61" s="52">
        <f>IFERROR(VLOOKUP($A61,'Housekeeping Sample'!$A:$O,15,FALSE),0)</f>
        <v>16.948333333333334</v>
      </c>
      <c r="R61" s="52">
        <f>IFERROR(VLOOKUP($A61,'Housekeeping Sample'!$A:$O,14,FALSE),0)</f>
        <v>16.755000000000003</v>
      </c>
      <c r="S61" s="56">
        <f>IFERROR(VLOOKUP($A61,'Housekeeping Sample'!$A:$P,16,FALSE)/VLOOKUP($A61,'Housekeeping Sample'!$A:$P,11,FALSE),0)</f>
        <v>0</v>
      </c>
      <c r="T61" s="55">
        <v>0.42981044349070102</v>
      </c>
      <c r="U61" s="52">
        <f>IFERROR(VLOOKUP($A61,'Activities Sample'!$A:$M,13,FALSE),0)</f>
        <v>19.445</v>
      </c>
      <c r="V61" s="52">
        <f>IFERROR(VLOOKUP($A61,'Activities Sample'!$A:$M,12,FALSE),0)</f>
        <v>19.445</v>
      </c>
      <c r="W61" s="56">
        <f>IFERROR(VLOOKUP($A61,'Activities Sample'!$A:$O,15,FALSE)/VLOOKUP($A61,'Activities Sample'!$A:$O,9,FALSE),0)</f>
        <v>0.5</v>
      </c>
      <c r="X61" s="55">
        <v>0.59978540772532185</v>
      </c>
    </row>
    <row r="62" spans="1:24" s="57" customFormat="1" x14ac:dyDescent="0.55000000000000004">
      <c r="A62" s="50">
        <v>500</v>
      </c>
      <c r="B62" s="51">
        <v>2</v>
      </c>
      <c r="C62" s="51" t="s">
        <v>52</v>
      </c>
      <c r="D62" s="51" t="s">
        <v>43</v>
      </c>
      <c r="E62" s="52">
        <f>IFERROR(VLOOKUP($A62,'CNA Sample'!$A:$M,13,FALSE),0)</f>
        <v>21.704347826086952</v>
      </c>
      <c r="F62" s="53">
        <f>IFERROR(VLOOKUP($A62,'CNA Sample'!$A:$M,12,FALSE),0)</f>
        <v>21.33</v>
      </c>
      <c r="G62" s="54">
        <f>IFERROR(VLOOKUP($A62,'CNA Sample'!$A:$O,15,FALSE)/VLOOKUP($A62,'CNA Sample'!$A:$O,9,FALSE),0)</f>
        <v>0.54347826086956519</v>
      </c>
      <c r="H62" s="55">
        <v>2.6383416642164068</v>
      </c>
      <c r="I62" s="52">
        <f>IFERROR(VLOOKUP($A62,'Dietary Sample'!$A:$AA,27,FALSE),0)</f>
        <v>19.333333333333332</v>
      </c>
      <c r="J62" s="52">
        <f>IFERROR(VLOOKUP($A62,'Dietary Sample'!$A:$AA,26,FALSE),0)</f>
        <v>20</v>
      </c>
      <c r="K62" s="54">
        <f>IFERROR(VLOOKUP($A62,'Dietary Sample'!$A:$AM,35,FALSE)/VLOOKUP($A62,'Dietary Sample'!$A:$AM,18,FALSE),0)</f>
        <v>0.33333333333333331</v>
      </c>
      <c r="L62" s="55">
        <v>0.11774314744029533</v>
      </c>
      <c r="M62" s="52">
        <f>IFERROR(VLOOKUP($A62,'Dietary Sample'!$A:$AA,23,FALSE),0)</f>
        <v>14.602083333333333</v>
      </c>
      <c r="N62" s="52">
        <f>IFERROR(VLOOKUP($A62,'Dietary Sample'!$A:$AA,22,FALSE),0)</f>
        <v>13.625</v>
      </c>
      <c r="O62" s="56">
        <f>IFERROR(VLOOKUP($A62,'Dietary Sample'!$A:$AM,30,FALSE)/VLOOKUP($A62,'Dietary Sample'!$A:$AM,17,FALSE),0)</f>
        <v>0.5</v>
      </c>
      <c r="P62" s="55">
        <v>0.94194517952236267</v>
      </c>
      <c r="Q62" s="52">
        <f>IFERROR(VLOOKUP($A62,'Housekeeping Sample'!$A:$O,15,FALSE),0)</f>
        <v>15.87</v>
      </c>
      <c r="R62" s="52">
        <f>IFERROR(VLOOKUP($A62,'Housekeeping Sample'!$A:$O,14,FALSE),0)</f>
        <v>16.13</v>
      </c>
      <c r="S62" s="56">
        <f>IFERROR(VLOOKUP($A62,'Housekeeping Sample'!$A:$P,16,FALSE)/VLOOKUP($A62,'Housekeeping Sample'!$A:$P,11,FALSE),0)</f>
        <v>0.42857142857142855</v>
      </c>
      <c r="T62" s="55">
        <v>0.59663824365382734</v>
      </c>
      <c r="U62" s="52">
        <f>IFERROR(VLOOKUP($A62,'Activities Sample'!$A:$M,13,FALSE),0)</f>
        <v>14.111111111111111</v>
      </c>
      <c r="V62" s="52">
        <f>IFERROR(VLOOKUP($A62,'Activities Sample'!$A:$M,12,FALSE),0)</f>
        <v>13.5</v>
      </c>
      <c r="W62" s="56">
        <f>IFERROR(VLOOKUP($A62,'Activities Sample'!$A:$O,15,FALSE)/VLOOKUP($A62,'Activities Sample'!$A:$O,9,FALSE),0)</f>
        <v>0.61111111111111116</v>
      </c>
      <c r="X62" s="55">
        <v>0.69141428991473097</v>
      </c>
    </row>
    <row r="63" spans="1:24" s="57" customFormat="1" x14ac:dyDescent="0.55000000000000004">
      <c r="A63" s="50">
        <v>506</v>
      </c>
      <c r="B63" s="51">
        <v>3</v>
      </c>
      <c r="C63" s="51" t="s">
        <v>37</v>
      </c>
      <c r="D63" s="51" t="s">
        <v>40</v>
      </c>
      <c r="E63" s="52">
        <f>IFERROR(VLOOKUP($A63,'CNA Sample'!$A:$M,13,FALSE),0)</f>
        <v>21.432531645569632</v>
      </c>
      <c r="F63" s="53">
        <f>IFERROR(VLOOKUP($A63,'CNA Sample'!$A:$M,12,FALSE),0)</f>
        <v>20.43</v>
      </c>
      <c r="G63" s="54">
        <f>IFERROR(VLOOKUP($A63,'CNA Sample'!$A:$O,15,FALSE)/VLOOKUP($A63,'CNA Sample'!$A:$O,9,FALSE),0)</f>
        <v>0.59493670886075944</v>
      </c>
      <c r="H63" s="55">
        <v>2.8370709535109122</v>
      </c>
      <c r="I63" s="52">
        <f>IFERROR(VLOOKUP($A63,'Dietary Sample'!$A:$AA,27,FALSE),0)</f>
        <v>21.661428571428569</v>
      </c>
      <c r="J63" s="52">
        <f>IFERROR(VLOOKUP($A63,'Dietary Sample'!$A:$AA,26,FALSE),0)</f>
        <v>20.69</v>
      </c>
      <c r="K63" s="54">
        <f>IFERROR(VLOOKUP($A63,'Dietary Sample'!$A:$AM,35,FALSE)/VLOOKUP($A63,'Dietary Sample'!$A:$AM,18,FALSE),0)</f>
        <v>0.2857142857142857</v>
      </c>
      <c r="L63" s="55">
        <v>0.37777323422266873</v>
      </c>
      <c r="M63" s="52">
        <f>IFERROR(VLOOKUP($A63,'Dietary Sample'!$A:$AA,23,FALSE),0)</f>
        <v>17.073</v>
      </c>
      <c r="N63" s="52">
        <f>IFERROR(VLOOKUP($A63,'Dietary Sample'!$A:$AA,22,FALSE),0)</f>
        <v>16.105</v>
      </c>
      <c r="O63" s="56">
        <f>IFERROR(VLOOKUP($A63,'Dietary Sample'!$A:$AM,30,FALSE)/VLOOKUP($A63,'Dietary Sample'!$A:$AM,17,FALSE),0)</f>
        <v>0.5</v>
      </c>
      <c r="P63" s="55">
        <v>0.53967604888952669</v>
      </c>
      <c r="Q63" s="52">
        <f>IFERROR(VLOOKUP($A63,'Housekeeping Sample'!$A:$O,15,FALSE),0)</f>
        <v>17.138571428571431</v>
      </c>
      <c r="R63" s="52">
        <f>IFERROR(VLOOKUP($A63,'Housekeeping Sample'!$A:$O,14,FALSE),0)</f>
        <v>17.03</v>
      </c>
      <c r="S63" s="56">
        <f>IFERROR(VLOOKUP($A63,'Housekeeping Sample'!$A:$P,16,FALSE)/VLOOKUP($A63,'Housekeeping Sample'!$A:$P,11,FALSE),0)</f>
        <v>0.42857142857142855</v>
      </c>
      <c r="T63" s="55">
        <v>0.50108619364326057</v>
      </c>
      <c r="U63" s="52">
        <f>IFERROR(VLOOKUP($A63,'Activities Sample'!$A:$M,13,FALSE),0)</f>
        <v>20.240000000000002</v>
      </c>
      <c r="V63" s="52">
        <f>IFERROR(VLOOKUP($A63,'Activities Sample'!$A:$M,12,FALSE),0)</f>
        <v>19.25</v>
      </c>
      <c r="W63" s="56">
        <f>IFERROR(VLOOKUP($A63,'Activities Sample'!$A:$O,15,FALSE)/VLOOKUP($A63,'Activities Sample'!$A:$O,9,FALSE),0)</f>
        <v>0.6</v>
      </c>
      <c r="X63" s="55">
        <v>0.31208849971591857</v>
      </c>
    </row>
    <row r="64" spans="1:24" s="57" customFormat="1" x14ac:dyDescent="0.55000000000000004">
      <c r="A64" s="50">
        <v>510</v>
      </c>
      <c r="B64" s="51">
        <v>1</v>
      </c>
      <c r="C64" s="51" t="s">
        <v>50</v>
      </c>
      <c r="D64" s="51" t="s">
        <v>43</v>
      </c>
      <c r="E64" s="52">
        <f>IFERROR(VLOOKUP($A64,'CNA Sample'!$A:$M,13,FALSE),0)</f>
        <v>18.872857142857139</v>
      </c>
      <c r="F64" s="53">
        <f>IFERROR(VLOOKUP($A64,'CNA Sample'!$A:$M,12,FALSE),0)</f>
        <v>18.71</v>
      </c>
      <c r="G64" s="54">
        <f>IFERROR(VLOOKUP($A64,'CNA Sample'!$A:$O,15,FALSE)/VLOOKUP($A64,'CNA Sample'!$A:$O,9,FALSE),0)</f>
        <v>0.52380952380952384</v>
      </c>
      <c r="H64" s="55">
        <v>3.3291356330850648</v>
      </c>
      <c r="I64" s="52">
        <f>IFERROR(VLOOKUP($A64,'Dietary Sample'!$A:$AA,27,FALSE),0)</f>
        <v>19.450000000000003</v>
      </c>
      <c r="J64" s="52">
        <f>IFERROR(VLOOKUP($A64,'Dietary Sample'!$A:$AA,26,FALSE),0)</f>
        <v>20.100000000000001</v>
      </c>
      <c r="K64" s="54">
        <f>IFERROR(VLOOKUP($A64,'Dietary Sample'!$A:$AM,35,FALSE)/VLOOKUP($A64,'Dietary Sample'!$A:$AM,18,FALSE),0)</f>
        <v>0.25</v>
      </c>
      <c r="L64" s="55">
        <v>1.0425813406507252</v>
      </c>
      <c r="M64" s="52">
        <f>IFERROR(VLOOKUP($A64,'Dietary Sample'!$A:$AA,23,FALSE),0)</f>
        <v>0</v>
      </c>
      <c r="N64" s="52">
        <f>IFERROR(VLOOKUP($A64,'Dietary Sample'!$A:$AA,22,FALSE),0)</f>
        <v>0</v>
      </c>
      <c r="O64" s="56">
        <f>IFERROR(VLOOKUP($A64,'Dietary Sample'!$A:$AM,30,FALSE)/VLOOKUP($A64,'Dietary Sample'!$A:$AM,17,FALSE),0)</f>
        <v>0</v>
      </c>
      <c r="P64" s="55">
        <v>0</v>
      </c>
      <c r="Q64" s="52">
        <f>IFERROR(VLOOKUP($A64,'Housekeeping Sample'!$A:$O,15,FALSE),0)</f>
        <v>0</v>
      </c>
      <c r="R64" s="52">
        <f>IFERROR(VLOOKUP($A64,'Housekeeping Sample'!$A:$O,14,FALSE),0)</f>
        <v>0</v>
      </c>
      <c r="S64" s="56">
        <f>IFERROR(VLOOKUP($A64,'Housekeeping Sample'!$A:$P,16,FALSE)/VLOOKUP($A64,'Housekeeping Sample'!$A:$P,11,FALSE),0)</f>
        <v>0</v>
      </c>
      <c r="T64" s="55">
        <v>0</v>
      </c>
      <c r="U64" s="52">
        <f>IFERROR(VLOOKUP($A64,'Activities Sample'!$A:$M,13,FALSE),0)</f>
        <v>0</v>
      </c>
      <c r="V64" s="52">
        <f>IFERROR(VLOOKUP($A64,'Activities Sample'!$A:$M,12,FALSE),0)</f>
        <v>0</v>
      </c>
      <c r="W64" s="56">
        <f>IFERROR(VLOOKUP($A64,'Activities Sample'!$A:$O,15,FALSE)/VLOOKUP($A64,'Activities Sample'!$A:$O,9,FALSE),0)</f>
        <v>0</v>
      </c>
      <c r="X64" s="55">
        <v>0</v>
      </c>
    </row>
    <row r="65" spans="1:24" s="57" customFormat="1" x14ac:dyDescent="0.55000000000000004">
      <c r="A65" s="50">
        <v>528</v>
      </c>
      <c r="B65" s="51">
        <v>1</v>
      </c>
      <c r="C65" s="51" t="s">
        <v>48</v>
      </c>
      <c r="D65" s="51" t="s">
        <v>43</v>
      </c>
      <c r="E65" s="52">
        <f>IFERROR(VLOOKUP($A65,'CNA Sample'!$A:$M,13,FALSE),0)</f>
        <v>0</v>
      </c>
      <c r="F65" s="53">
        <f>IFERROR(VLOOKUP($A65,'CNA Sample'!$A:$M,12,FALSE),0)</f>
        <v>0</v>
      </c>
      <c r="G65" s="54">
        <f>IFERROR(VLOOKUP($A65,'CNA Sample'!$A:$O,15,FALSE)/VLOOKUP($A65,'CNA Sample'!$A:$O,9,FALSE),0)</f>
        <v>0</v>
      </c>
      <c r="H65" s="55">
        <v>0</v>
      </c>
      <c r="I65" s="52">
        <f>IFERROR(VLOOKUP($A65,'Dietary Sample'!$A:$AA,27,FALSE),0)</f>
        <v>20.013333333333335</v>
      </c>
      <c r="J65" s="52">
        <f>IFERROR(VLOOKUP($A65,'Dietary Sample'!$A:$AA,26,FALSE),0)</f>
        <v>20.56</v>
      </c>
      <c r="K65" s="54">
        <f>IFERROR(VLOOKUP($A65,'Dietary Sample'!$A:$AM,35,FALSE)/VLOOKUP($A65,'Dietary Sample'!$A:$AM,18,FALSE),0)</f>
        <v>0.33333333333333331</v>
      </c>
      <c r="L65" s="55">
        <v>0.34094647602176387</v>
      </c>
      <c r="M65" s="52">
        <f>IFERROR(VLOOKUP($A65,'Dietary Sample'!$A:$AA,23,FALSE),0)</f>
        <v>17.221818181818175</v>
      </c>
      <c r="N65" s="52">
        <f>IFERROR(VLOOKUP($A65,'Dietary Sample'!$A:$AA,22,FALSE),0)</f>
        <v>16.2</v>
      </c>
      <c r="O65" s="56">
        <f>IFERROR(VLOOKUP($A65,'Dietary Sample'!$A:$AM,30,FALSE)/VLOOKUP($A65,'Dietary Sample'!$A:$AM,17,FALSE),0)</f>
        <v>0</v>
      </c>
      <c r="P65" s="55">
        <v>1.2501370787464676</v>
      </c>
      <c r="Q65" s="52">
        <f>IFERROR(VLOOKUP($A65,'Housekeeping Sample'!$A:$O,15,FALSE),0)</f>
        <v>0</v>
      </c>
      <c r="R65" s="52">
        <f>IFERROR(VLOOKUP($A65,'Housekeeping Sample'!$A:$O,14,FALSE),0)</f>
        <v>0</v>
      </c>
      <c r="S65" s="56">
        <f>IFERROR(VLOOKUP($A65,'Housekeeping Sample'!$A:$P,16,FALSE)/VLOOKUP($A65,'Housekeeping Sample'!$A:$P,11,FALSE),0)</f>
        <v>0</v>
      </c>
      <c r="T65" s="55">
        <v>0</v>
      </c>
      <c r="U65" s="52">
        <f>IFERROR(VLOOKUP($A65,'Activities Sample'!$A:$M,13,FALSE),0)</f>
        <v>0</v>
      </c>
      <c r="V65" s="52">
        <f>IFERROR(VLOOKUP($A65,'Activities Sample'!$A:$M,12,FALSE),0)</f>
        <v>0</v>
      </c>
      <c r="W65" s="56">
        <f>IFERROR(VLOOKUP($A65,'Activities Sample'!$A:$O,15,FALSE)/VLOOKUP($A65,'Activities Sample'!$A:$O,9,FALSE),0)</f>
        <v>0</v>
      </c>
      <c r="X65" s="55">
        <v>0</v>
      </c>
    </row>
    <row r="66" spans="1:24" s="57" customFormat="1" x14ac:dyDescent="0.55000000000000004">
      <c r="A66" s="50">
        <v>529</v>
      </c>
      <c r="B66" s="51">
        <v>3</v>
      </c>
      <c r="C66" s="51" t="s">
        <v>37</v>
      </c>
      <c r="D66" s="51" t="s">
        <v>40</v>
      </c>
      <c r="E66" s="52">
        <f>IFERROR(VLOOKUP($A66,'CNA Sample'!$A:$M,13,FALSE),0)</f>
        <v>0</v>
      </c>
      <c r="F66" s="53">
        <f>IFERROR(VLOOKUP($A66,'CNA Sample'!$A:$M,12,FALSE),0)</f>
        <v>0</v>
      </c>
      <c r="G66" s="54">
        <f>IFERROR(VLOOKUP($A66,'CNA Sample'!$A:$O,15,FALSE)/VLOOKUP($A66,'CNA Sample'!$A:$O,9,FALSE),0)</f>
        <v>0</v>
      </c>
      <c r="H66" s="55">
        <v>0</v>
      </c>
      <c r="I66" s="52">
        <f>IFERROR(VLOOKUP($A66,'Dietary Sample'!$A:$AA,27,FALSE),0)</f>
        <v>0</v>
      </c>
      <c r="J66" s="52">
        <f>IFERROR(VLOOKUP($A66,'Dietary Sample'!$A:$AA,26,FALSE),0)</f>
        <v>0</v>
      </c>
      <c r="K66" s="54">
        <f>IFERROR(VLOOKUP($A66,'Dietary Sample'!$A:$AM,35,FALSE)/VLOOKUP($A66,'Dietary Sample'!$A:$AM,18,FALSE),0)</f>
        <v>0</v>
      </c>
      <c r="L66" s="55">
        <v>0</v>
      </c>
      <c r="M66" s="52">
        <f>IFERROR(VLOOKUP($A66,'Dietary Sample'!$A:$AA,23,FALSE),0)</f>
        <v>0</v>
      </c>
      <c r="N66" s="52">
        <f>IFERROR(VLOOKUP($A66,'Dietary Sample'!$A:$AA,22,FALSE),0)</f>
        <v>0</v>
      </c>
      <c r="O66" s="56">
        <f>IFERROR(VLOOKUP($A66,'Dietary Sample'!$A:$AM,30,FALSE)/VLOOKUP($A66,'Dietary Sample'!$A:$AM,17,FALSE),0)</f>
        <v>0</v>
      </c>
      <c r="P66" s="55">
        <v>0</v>
      </c>
      <c r="Q66" s="52">
        <f>IFERROR(VLOOKUP($A66,'Housekeeping Sample'!$A:$O,15,FALSE),0)</f>
        <v>0</v>
      </c>
      <c r="R66" s="52">
        <f>IFERROR(VLOOKUP($A66,'Housekeeping Sample'!$A:$O,14,FALSE),0)</f>
        <v>0</v>
      </c>
      <c r="S66" s="56">
        <f>IFERROR(VLOOKUP($A66,'Housekeeping Sample'!$A:$P,16,FALSE)/VLOOKUP($A66,'Housekeeping Sample'!$A:$P,11,FALSE),0)</f>
        <v>0</v>
      </c>
      <c r="T66" s="55">
        <v>0</v>
      </c>
      <c r="U66" s="52">
        <f>IFERROR(VLOOKUP($A66,'Activities Sample'!$A:$M,13,FALSE),0)</f>
        <v>17.740000000000002</v>
      </c>
      <c r="V66" s="52">
        <f>IFERROR(VLOOKUP($A66,'Activities Sample'!$A:$M,12,FALSE),0)</f>
        <v>17.740000000000002</v>
      </c>
      <c r="W66" s="56">
        <f>IFERROR(VLOOKUP($A66,'Activities Sample'!$A:$O,15,FALSE)/VLOOKUP($A66,'Activities Sample'!$A:$O,9,FALSE),0)</f>
        <v>0.5</v>
      </c>
      <c r="X66" s="55">
        <v>0.48135613706412039</v>
      </c>
    </row>
    <row r="67" spans="1:24" s="57" customFormat="1" x14ac:dyDescent="0.55000000000000004">
      <c r="A67" s="50">
        <v>535</v>
      </c>
      <c r="B67" s="51">
        <v>3</v>
      </c>
      <c r="C67" s="51" t="s">
        <v>37</v>
      </c>
      <c r="D67" s="51" t="s">
        <v>38</v>
      </c>
      <c r="E67" s="52">
        <f>IFERROR(VLOOKUP($A67,'CNA Sample'!$A:$M,13,FALSE),0)</f>
        <v>18.886086956521748</v>
      </c>
      <c r="F67" s="53">
        <f>IFERROR(VLOOKUP($A67,'CNA Sample'!$A:$M,12,FALSE),0)</f>
        <v>18.03</v>
      </c>
      <c r="G67" s="54">
        <f>IFERROR(VLOOKUP($A67,'CNA Sample'!$A:$O,15,FALSE)/VLOOKUP($A67,'CNA Sample'!$A:$O,9,FALSE),0)</f>
        <v>0.73913043478260865</v>
      </c>
      <c r="H67" s="55">
        <v>2.7079994912883123</v>
      </c>
      <c r="I67" s="52">
        <f>IFERROR(VLOOKUP($A67,'Dietary Sample'!$A:$AA,27,FALSE),0)</f>
        <v>20.048333333333332</v>
      </c>
      <c r="J67" s="52">
        <f>IFERROR(VLOOKUP($A67,'Dietary Sample'!$A:$AA,26,FALSE),0)</f>
        <v>20.32</v>
      </c>
      <c r="K67" s="54">
        <f>IFERROR(VLOOKUP($A67,'Dietary Sample'!$A:$AM,35,FALSE)/VLOOKUP($A67,'Dietary Sample'!$A:$AM,18,FALSE),0)</f>
        <v>0.33333333333333331</v>
      </c>
      <c r="L67" s="55">
        <v>9.0847428886345324E-2</v>
      </c>
      <c r="M67" s="52">
        <f>IFERROR(VLOOKUP($A67,'Dietary Sample'!$A:$AA,23,FALSE),0)</f>
        <v>15.658333333333323</v>
      </c>
      <c r="N67" s="52">
        <f>IFERROR(VLOOKUP($A67,'Dietary Sample'!$A:$AA,22,FALSE),0)</f>
        <v>15.27</v>
      </c>
      <c r="O67" s="56">
        <f>IFERROR(VLOOKUP($A67,'Dietary Sample'!$A:$AM,30,FALSE)/VLOOKUP($A67,'Dietary Sample'!$A:$AM,17,FALSE),0)</f>
        <v>0</v>
      </c>
      <c r="P67" s="55">
        <v>0.7267794310907626</v>
      </c>
      <c r="Q67" s="52">
        <f>IFERROR(VLOOKUP($A67,'Housekeeping Sample'!$A:$O,15,FALSE),0)</f>
        <v>16.945999999999998</v>
      </c>
      <c r="R67" s="52">
        <f>IFERROR(VLOOKUP($A67,'Housekeeping Sample'!$A:$O,14,FALSE),0)</f>
        <v>16.52</v>
      </c>
      <c r="S67" s="56">
        <f>IFERROR(VLOOKUP($A67,'Housekeeping Sample'!$A:$P,16,FALSE)/VLOOKUP($A67,'Housekeeping Sample'!$A:$P,11,FALSE),0)</f>
        <v>0.4</v>
      </c>
      <c r="T67" s="55">
        <v>0.2107338166094366</v>
      </c>
      <c r="U67" s="52">
        <f>IFERROR(VLOOKUP($A67,'Activities Sample'!$A:$M,13,FALSE),0)</f>
        <v>22.685000000000002</v>
      </c>
      <c r="V67" s="52">
        <f>IFERROR(VLOOKUP($A67,'Activities Sample'!$A:$M,12,FALSE),0)</f>
        <v>22.685000000000002</v>
      </c>
      <c r="W67" s="56">
        <f>IFERROR(VLOOKUP($A67,'Activities Sample'!$A:$O,15,FALSE)/VLOOKUP($A67,'Activities Sample'!$A:$O,9,FALSE),0)</f>
        <v>0.5</v>
      </c>
      <c r="X67" s="55">
        <v>0.20202212895841282</v>
      </c>
    </row>
    <row r="68" spans="1:24" s="57" customFormat="1" x14ac:dyDescent="0.55000000000000004">
      <c r="A68" s="50">
        <v>540</v>
      </c>
      <c r="B68" s="51">
        <v>2</v>
      </c>
      <c r="C68" s="51" t="s">
        <v>49</v>
      </c>
      <c r="D68" s="51" t="s">
        <v>40</v>
      </c>
      <c r="E68" s="52">
        <f>IFERROR(VLOOKUP($A68,'CNA Sample'!$A:$M,13,FALSE),0)</f>
        <v>23.111428571428576</v>
      </c>
      <c r="F68" s="53">
        <f>IFERROR(VLOOKUP($A68,'CNA Sample'!$A:$M,12,FALSE),0)</f>
        <v>24.09</v>
      </c>
      <c r="G68" s="54">
        <f>IFERROR(VLOOKUP($A68,'CNA Sample'!$A:$O,15,FALSE)/VLOOKUP($A68,'CNA Sample'!$A:$O,9,FALSE),0)</f>
        <v>0.44897959183673469</v>
      </c>
      <c r="H68" s="55">
        <v>3.2811661527371752</v>
      </c>
      <c r="I68" s="52">
        <f>IFERROR(VLOOKUP($A68,'Dietary Sample'!$A:$AA,27,FALSE),0)</f>
        <v>21.286000000000001</v>
      </c>
      <c r="J68" s="52">
        <f>IFERROR(VLOOKUP($A68,'Dietary Sample'!$A:$AA,26,FALSE),0)</f>
        <v>21.92</v>
      </c>
      <c r="K68" s="54">
        <f>IFERROR(VLOOKUP($A68,'Dietary Sample'!$A:$AM,35,FALSE)/VLOOKUP($A68,'Dietary Sample'!$A:$AM,18,FALSE),0)</f>
        <v>0.3</v>
      </c>
      <c r="L68" s="55">
        <v>0.30921583322368235</v>
      </c>
      <c r="M68" s="52">
        <f>IFERROR(VLOOKUP($A68,'Dietary Sample'!$A:$AA,23,FALSE),0)</f>
        <v>16.891282051282051</v>
      </c>
      <c r="N68" s="52">
        <f>IFERROR(VLOOKUP($A68,'Dietary Sample'!$A:$AA,22,FALSE),0)</f>
        <v>16.32</v>
      </c>
      <c r="O68" s="56">
        <f>IFERROR(VLOOKUP($A68,'Dietary Sample'!$A:$AM,30,FALSE)/VLOOKUP($A68,'Dietary Sample'!$A:$AM,17,FALSE),0)</f>
        <v>0.48717948717948717</v>
      </c>
      <c r="P68" s="55">
        <v>1.205941749572361</v>
      </c>
      <c r="Q68" s="52">
        <f>IFERROR(VLOOKUP($A68,'Housekeeping Sample'!$A:$O,15,FALSE),0)</f>
        <v>17.647500000000001</v>
      </c>
      <c r="R68" s="52">
        <f>IFERROR(VLOOKUP($A68,'Housekeeping Sample'!$A:$O,14,FALSE),0)</f>
        <v>16.945</v>
      </c>
      <c r="S68" s="56">
        <f>IFERROR(VLOOKUP($A68,'Housekeeping Sample'!$A:$P,16,FALSE)/VLOOKUP($A68,'Housekeeping Sample'!$A:$P,11,FALSE),0)</f>
        <v>0.5</v>
      </c>
      <c r="T68" s="55">
        <v>0.36954867646469908</v>
      </c>
      <c r="U68" s="52">
        <f>IFERROR(VLOOKUP($A68,'Activities Sample'!$A:$M,13,FALSE),0)</f>
        <v>19.736666666666668</v>
      </c>
      <c r="V68" s="52">
        <f>IFERROR(VLOOKUP($A68,'Activities Sample'!$A:$M,12,FALSE),0)</f>
        <v>19.535</v>
      </c>
      <c r="W68" s="56">
        <f>IFERROR(VLOOKUP($A68,'Activities Sample'!$A:$O,15,FALSE)/VLOOKUP($A68,'Activities Sample'!$A:$O,9,FALSE),0)</f>
        <v>0.5</v>
      </c>
      <c r="X68" s="55">
        <v>0.67358135437107047</v>
      </c>
    </row>
    <row r="69" spans="1:24" s="57" customFormat="1" x14ac:dyDescent="0.55000000000000004">
      <c r="A69" s="50">
        <v>542</v>
      </c>
      <c r="B69" s="51">
        <v>3</v>
      </c>
      <c r="C69" s="51" t="s">
        <v>37</v>
      </c>
      <c r="D69" s="51" t="s">
        <v>43</v>
      </c>
      <c r="E69" s="52">
        <f>IFERROR(VLOOKUP($A69,'CNA Sample'!$A:$M,13,FALSE),0)</f>
        <v>20.984130434782607</v>
      </c>
      <c r="F69" s="53">
        <f>IFERROR(VLOOKUP($A69,'CNA Sample'!$A:$M,12,FALSE),0)</f>
        <v>20.5</v>
      </c>
      <c r="G69" s="54">
        <f>IFERROR(VLOOKUP($A69,'CNA Sample'!$A:$O,15,FALSE)/VLOOKUP($A69,'CNA Sample'!$A:$O,9,FALSE),0)</f>
        <v>0.73913043478260865</v>
      </c>
      <c r="H69" s="55">
        <v>2.1493481489630892</v>
      </c>
      <c r="I69" s="52">
        <f>IFERROR(VLOOKUP($A69,'Dietary Sample'!$A:$AA,27,FALSE),0)</f>
        <v>21.522500000000001</v>
      </c>
      <c r="J69" s="52">
        <f>IFERROR(VLOOKUP($A69,'Dietary Sample'!$A:$AA,26,FALSE),0)</f>
        <v>21.33</v>
      </c>
      <c r="K69" s="54">
        <f>IFERROR(VLOOKUP($A69,'Dietary Sample'!$A:$AM,35,FALSE)/VLOOKUP($A69,'Dietary Sample'!$A:$AM,18,FALSE),0)</f>
        <v>0.5</v>
      </c>
      <c r="L69" s="55">
        <v>0.2005949383692934</v>
      </c>
      <c r="M69" s="52">
        <f>IFERROR(VLOOKUP($A69,'Dietary Sample'!$A:$AA,23,FALSE),0)</f>
        <v>16.635454545454543</v>
      </c>
      <c r="N69" s="52">
        <f>IFERROR(VLOOKUP($A69,'Dietary Sample'!$A:$AA,22,FALSE),0)</f>
        <v>16.309999999999999</v>
      </c>
      <c r="O69" s="56">
        <f>IFERROR(VLOOKUP($A69,'Dietary Sample'!$A:$AM,30,FALSE)/VLOOKUP($A69,'Dietary Sample'!$A:$AM,17,FALSE),0)</f>
        <v>0</v>
      </c>
      <c r="P69" s="55">
        <v>1.1032721610311136</v>
      </c>
      <c r="Q69" s="52">
        <f>IFERROR(VLOOKUP($A69,'Housekeeping Sample'!$A:$O,15,FALSE),0)</f>
        <v>19.092857142857138</v>
      </c>
      <c r="R69" s="52">
        <f>IFERROR(VLOOKUP($A69,'Housekeeping Sample'!$A:$O,14,FALSE),0)</f>
        <v>18.57</v>
      </c>
      <c r="S69" s="56">
        <f>IFERROR(VLOOKUP($A69,'Housekeeping Sample'!$A:$P,16,FALSE)/VLOOKUP($A69,'Housekeeping Sample'!$A:$P,11,FALSE),0)</f>
        <v>0.42857142857142855</v>
      </c>
      <c r="T69" s="55">
        <v>0.54860003300511584</v>
      </c>
      <c r="U69" s="52">
        <f>IFERROR(VLOOKUP($A69,'Activities Sample'!$A:$M,13,FALSE),0)</f>
        <v>19.5</v>
      </c>
      <c r="V69" s="52">
        <f>IFERROR(VLOOKUP($A69,'Activities Sample'!$A:$M,12,FALSE),0)</f>
        <v>19.5</v>
      </c>
      <c r="W69" s="56">
        <f>IFERROR(VLOOKUP($A69,'Activities Sample'!$A:$O,15,FALSE)/VLOOKUP($A69,'Activities Sample'!$A:$O,9,FALSE),0)</f>
        <v>0</v>
      </c>
      <c r="X69" s="55">
        <v>0.22773529897134057</v>
      </c>
    </row>
    <row r="70" spans="1:24" s="57" customFormat="1" x14ac:dyDescent="0.55000000000000004">
      <c r="A70" s="50">
        <v>543</v>
      </c>
      <c r="B70" s="51">
        <v>1</v>
      </c>
      <c r="C70" s="51" t="s">
        <v>44</v>
      </c>
      <c r="D70" s="51" t="s">
        <v>45</v>
      </c>
      <c r="E70" s="52">
        <f>IFERROR(VLOOKUP($A70,'CNA Sample'!$A:$M,13,FALSE),0)</f>
        <v>19.793529411764709</v>
      </c>
      <c r="F70" s="53">
        <f>IFERROR(VLOOKUP($A70,'CNA Sample'!$A:$M,12,FALSE),0)</f>
        <v>20.34</v>
      </c>
      <c r="G70" s="54">
        <f>IFERROR(VLOOKUP($A70,'CNA Sample'!$A:$O,15,FALSE)/VLOOKUP($A70,'CNA Sample'!$A:$O,9,FALSE),0)</f>
        <v>0.47058823529411764</v>
      </c>
      <c r="H70" s="55">
        <v>3.0561396739654674</v>
      </c>
      <c r="I70" s="52">
        <f>IFERROR(VLOOKUP($A70,'Dietary Sample'!$A:$AA,27,FALSE),0)</f>
        <v>17.010000000000002</v>
      </c>
      <c r="J70" s="52">
        <f>IFERROR(VLOOKUP($A70,'Dietary Sample'!$A:$AA,26,FALSE),0)</f>
        <v>16.79</v>
      </c>
      <c r="K70" s="54">
        <f>IFERROR(VLOOKUP($A70,'Dietary Sample'!$A:$AM,35,FALSE)/VLOOKUP($A70,'Dietary Sample'!$A:$AM,18,FALSE),0)</f>
        <v>0.4</v>
      </c>
      <c r="L70" s="55">
        <v>0.57914536510080061</v>
      </c>
      <c r="M70" s="52">
        <f>IFERROR(VLOOKUP($A70,'Dietary Sample'!$A:$AA,23,FALSE),0)</f>
        <v>14.606</v>
      </c>
      <c r="N70" s="52">
        <f>IFERROR(VLOOKUP($A70,'Dietary Sample'!$A:$AA,22,FALSE),0)</f>
        <v>13.44</v>
      </c>
      <c r="O70" s="56">
        <f>IFERROR(VLOOKUP($A70,'Dietary Sample'!$A:$AM,30,FALSE)/VLOOKUP($A70,'Dietary Sample'!$A:$AM,17,FALSE),0)</f>
        <v>0.2</v>
      </c>
      <c r="P70" s="55">
        <v>0.57914536510080061</v>
      </c>
      <c r="Q70" s="52">
        <f>IFERROR(VLOOKUP($A70,'Housekeeping Sample'!$A:$O,15,FALSE),0)</f>
        <v>14.52</v>
      </c>
      <c r="R70" s="52">
        <f>IFERROR(VLOOKUP($A70,'Housekeeping Sample'!$A:$O,14,FALSE),0)</f>
        <v>14.52</v>
      </c>
      <c r="S70" s="56">
        <f>IFERROR(VLOOKUP($A70,'Housekeeping Sample'!$A:$P,16,FALSE)/VLOOKUP($A70,'Housekeeping Sample'!$A:$P,11,FALSE),0)</f>
        <v>0.5</v>
      </c>
      <c r="T70" s="55">
        <v>0.24645509790681971</v>
      </c>
      <c r="U70" s="52">
        <f>IFERROR(VLOOKUP($A70,'Activities Sample'!$A:$M,13,FALSE),0)</f>
        <v>13.8</v>
      </c>
      <c r="V70" s="52">
        <f>IFERROR(VLOOKUP($A70,'Activities Sample'!$A:$M,12,FALSE),0)</f>
        <v>13.8</v>
      </c>
      <c r="W70" s="56">
        <f>IFERROR(VLOOKUP($A70,'Activities Sample'!$A:$O,15,FALSE)/VLOOKUP($A70,'Activities Sample'!$A:$O,9,FALSE),0)</f>
        <v>0</v>
      </c>
      <c r="X70" s="55">
        <v>0.50786148355358351</v>
      </c>
    </row>
    <row r="71" spans="1:24" s="57" customFormat="1" x14ac:dyDescent="0.55000000000000004">
      <c r="A71" s="50">
        <v>550</v>
      </c>
      <c r="B71" s="51">
        <v>2</v>
      </c>
      <c r="C71" s="51" t="s">
        <v>42</v>
      </c>
      <c r="D71" s="51" t="s">
        <v>43</v>
      </c>
      <c r="E71" s="52">
        <f>IFERROR(VLOOKUP($A71,'CNA Sample'!$A:$M,13,FALSE),0)</f>
        <v>20.210588235294114</v>
      </c>
      <c r="F71" s="53">
        <f>IFERROR(VLOOKUP($A71,'CNA Sample'!$A:$M,12,FALSE),0)</f>
        <v>20.14</v>
      </c>
      <c r="G71" s="54">
        <f>IFERROR(VLOOKUP($A71,'CNA Sample'!$A:$O,15,FALSE)/VLOOKUP($A71,'CNA Sample'!$A:$O,9,FALSE),0)</f>
        <v>0.52941176470588236</v>
      </c>
      <c r="H71" s="55">
        <v>2.1861784701033136</v>
      </c>
      <c r="I71" s="52">
        <f>IFERROR(VLOOKUP($A71,'Dietary Sample'!$A:$AA,27,FALSE),0)</f>
        <v>19.62</v>
      </c>
      <c r="J71" s="52">
        <f>IFERROR(VLOOKUP($A71,'Dietary Sample'!$A:$AA,26,FALSE),0)</f>
        <v>19.57</v>
      </c>
      <c r="K71" s="54">
        <f>IFERROR(VLOOKUP($A71,'Dietary Sample'!$A:$AM,35,FALSE)/VLOOKUP($A71,'Dietary Sample'!$A:$AM,18,FALSE),0)</f>
        <v>0</v>
      </c>
      <c r="L71" s="55">
        <v>0.27333922166907554</v>
      </c>
      <c r="M71" s="52">
        <f>IFERROR(VLOOKUP($A71,'Dietary Sample'!$A:$AA,23,FALSE),0)</f>
        <v>17.679999999999996</v>
      </c>
      <c r="N71" s="52">
        <f>IFERROR(VLOOKUP($A71,'Dietary Sample'!$A:$AA,22,FALSE),0)</f>
        <v>17.36</v>
      </c>
      <c r="O71" s="56">
        <f>IFERROR(VLOOKUP($A71,'Dietary Sample'!$A:$AM,30,FALSE)/VLOOKUP($A71,'Dietary Sample'!$A:$AM,17,FALSE),0)</f>
        <v>0</v>
      </c>
      <c r="P71" s="55">
        <v>0.82001766500722661</v>
      </c>
      <c r="Q71" s="52">
        <f>IFERROR(VLOOKUP($A71,'Housekeeping Sample'!$A:$O,15,FALSE),0)</f>
        <v>16.605</v>
      </c>
      <c r="R71" s="52">
        <f>IFERROR(VLOOKUP($A71,'Housekeeping Sample'!$A:$O,14,FALSE),0)</f>
        <v>16.605</v>
      </c>
      <c r="S71" s="56">
        <f>IFERROR(VLOOKUP($A71,'Housekeeping Sample'!$A:$P,16,FALSE)/VLOOKUP($A71,'Housekeeping Sample'!$A:$P,11,FALSE),0)</f>
        <v>0.5</v>
      </c>
      <c r="T71" s="55">
        <v>0.21262245061827525</v>
      </c>
      <c r="U71" s="52">
        <f>IFERROR(VLOOKUP($A71,'Activities Sample'!$A:$M,13,FALSE),0)</f>
        <v>17.785</v>
      </c>
      <c r="V71" s="52">
        <f>IFERROR(VLOOKUP($A71,'Activities Sample'!$A:$M,12,FALSE),0)</f>
        <v>18.375</v>
      </c>
      <c r="W71" s="56">
        <f>IFERROR(VLOOKUP($A71,'Activities Sample'!$A:$O,15,FALSE)/VLOOKUP($A71,'Activities Sample'!$A:$O,9,FALSE),0)</f>
        <v>0.25</v>
      </c>
      <c r="X71" s="55">
        <v>0.39130667523151863</v>
      </c>
    </row>
    <row r="72" spans="1:24" s="57" customFormat="1" x14ac:dyDescent="0.55000000000000004">
      <c r="A72" s="50">
        <v>555</v>
      </c>
      <c r="B72" s="51">
        <v>1</v>
      </c>
      <c r="C72" s="51" t="s">
        <v>44</v>
      </c>
      <c r="D72" s="51" t="s">
        <v>38</v>
      </c>
      <c r="E72" s="52">
        <f>IFERROR(VLOOKUP($A72,'CNA Sample'!$A:$M,13,FALSE),0)</f>
        <v>19.238695652173917</v>
      </c>
      <c r="F72" s="53">
        <f>IFERROR(VLOOKUP($A72,'CNA Sample'!$A:$M,12,FALSE),0)</f>
        <v>18.940000000000001</v>
      </c>
      <c r="G72" s="54">
        <f>IFERROR(VLOOKUP($A72,'CNA Sample'!$A:$O,15,FALSE)/VLOOKUP($A72,'CNA Sample'!$A:$O,9,FALSE),0)</f>
        <v>0.78260869565217395</v>
      </c>
      <c r="H72" s="55">
        <v>1.0045082453434571</v>
      </c>
      <c r="I72" s="52">
        <f>IFERROR(VLOOKUP($A72,'Dietary Sample'!$A:$AA,27,FALSE),0)</f>
        <v>20.260000000000002</v>
      </c>
      <c r="J72" s="52">
        <f>IFERROR(VLOOKUP($A72,'Dietary Sample'!$A:$AA,26,FALSE),0)</f>
        <v>19.850000000000001</v>
      </c>
      <c r="K72" s="54">
        <f>IFERROR(VLOOKUP($A72,'Dietary Sample'!$A:$AM,35,FALSE)/VLOOKUP($A72,'Dietary Sample'!$A:$AM,18,FALSE),0)</f>
        <v>0.33333333333333331</v>
      </c>
      <c r="L72" s="55">
        <v>7.2270336536560285E-3</v>
      </c>
      <c r="M72" s="52">
        <f>IFERROR(VLOOKUP($A72,'Dietary Sample'!$A:$AA,23,FALSE),0)</f>
        <v>18.917619047619048</v>
      </c>
      <c r="N72" s="52">
        <f>IFERROR(VLOOKUP($A72,'Dietary Sample'!$A:$AA,22,FALSE),0)</f>
        <v>18.82</v>
      </c>
      <c r="O72" s="56">
        <f>IFERROR(VLOOKUP($A72,'Dietary Sample'!$A:$AM,30,FALSE)/VLOOKUP($A72,'Dietary Sample'!$A:$AM,17,FALSE),0)</f>
        <v>0.38095238095238093</v>
      </c>
      <c r="P72" s="55">
        <v>5.0589235575592202E-2</v>
      </c>
      <c r="Q72" s="52">
        <f>IFERROR(VLOOKUP($A72,'Housekeeping Sample'!$A:$O,15,FALSE),0)</f>
        <v>18.690000000000001</v>
      </c>
      <c r="R72" s="52">
        <f>IFERROR(VLOOKUP($A72,'Housekeeping Sample'!$A:$O,14,FALSE),0)</f>
        <v>18.47</v>
      </c>
      <c r="S72" s="56">
        <f>IFERROR(VLOOKUP($A72,'Housekeeping Sample'!$A:$P,16,FALSE)/VLOOKUP($A72,'Housekeeping Sample'!$A:$P,11,FALSE),0)</f>
        <v>0.33333333333333331</v>
      </c>
      <c r="T72" s="55">
        <v>0</v>
      </c>
      <c r="U72" s="52">
        <f>IFERROR(VLOOKUP($A72,'Activities Sample'!$A:$M,13,FALSE),0)</f>
        <v>21.965</v>
      </c>
      <c r="V72" s="52">
        <f>IFERROR(VLOOKUP($A72,'Activities Sample'!$A:$M,12,FALSE),0)</f>
        <v>21.965</v>
      </c>
      <c r="W72" s="56">
        <f>IFERROR(VLOOKUP($A72,'Activities Sample'!$A:$O,15,FALSE)/VLOOKUP($A72,'Activities Sample'!$A:$O,9,FALSE),0)</f>
        <v>0.5</v>
      </c>
      <c r="X72" s="55">
        <v>0.14169336022462134</v>
      </c>
    </row>
    <row r="73" spans="1:24" s="57" customFormat="1" x14ac:dyDescent="0.55000000000000004">
      <c r="A73" s="50">
        <v>558</v>
      </c>
      <c r="B73" s="51">
        <v>1</v>
      </c>
      <c r="C73" s="51" t="s">
        <v>50</v>
      </c>
      <c r="D73" s="51" t="s">
        <v>43</v>
      </c>
      <c r="E73" s="52">
        <f>IFERROR(VLOOKUP($A73,'CNA Sample'!$A:$M,13,FALSE),0)</f>
        <v>20.475000000000001</v>
      </c>
      <c r="F73" s="53">
        <f>IFERROR(VLOOKUP($A73,'CNA Sample'!$A:$M,12,FALSE),0)</f>
        <v>19.75</v>
      </c>
      <c r="G73" s="54">
        <f>IFERROR(VLOOKUP($A73,'CNA Sample'!$A:$O,15,FALSE)/VLOOKUP($A73,'CNA Sample'!$A:$O,9,FALSE),0)</f>
        <v>1</v>
      </c>
      <c r="H73" s="55">
        <v>3.2946685878962536</v>
      </c>
      <c r="I73" s="52">
        <f>IFERROR(VLOOKUP($A73,'Dietary Sample'!$A:$AA,27,FALSE),0)</f>
        <v>22.25</v>
      </c>
      <c r="J73" s="52">
        <f>IFERROR(VLOOKUP($A73,'Dietary Sample'!$A:$AA,26,FALSE),0)</f>
        <v>21</v>
      </c>
      <c r="K73" s="54">
        <f>IFERROR(VLOOKUP($A73,'Dietary Sample'!$A:$AM,35,FALSE)/VLOOKUP($A73,'Dietary Sample'!$A:$AM,18,FALSE),0)</f>
        <v>0</v>
      </c>
      <c r="L73" s="55">
        <v>0.33270893371757926</v>
      </c>
      <c r="M73" s="52">
        <f>IFERROR(VLOOKUP($A73,'Dietary Sample'!$A:$AA,23,FALSE),0)</f>
        <v>16.856249999999999</v>
      </c>
      <c r="N73" s="52">
        <f>IFERROR(VLOOKUP($A73,'Dietary Sample'!$A:$AA,22,FALSE),0)</f>
        <v>16</v>
      </c>
      <c r="O73" s="56">
        <f>IFERROR(VLOOKUP($A73,'Dietary Sample'!$A:$AM,30,FALSE)/VLOOKUP($A73,'Dietary Sample'!$A:$AM,17,FALSE),0)</f>
        <v>0</v>
      </c>
      <c r="P73" s="55">
        <v>1.330835734870317</v>
      </c>
      <c r="Q73" s="52">
        <f>IFERROR(VLOOKUP($A73,'Housekeeping Sample'!$A:$O,15,FALSE),0)</f>
        <v>17.625</v>
      </c>
      <c r="R73" s="52">
        <f>IFERROR(VLOOKUP($A73,'Housekeeping Sample'!$A:$O,14,FALSE),0)</f>
        <v>17.125</v>
      </c>
      <c r="S73" s="56">
        <f>IFERROR(VLOOKUP($A73,'Housekeeping Sample'!$A:$P,16,FALSE)/VLOOKUP($A73,'Housekeeping Sample'!$A:$P,11,FALSE),0)</f>
        <v>0.5</v>
      </c>
      <c r="T73" s="55">
        <v>0.28713649462929003</v>
      </c>
      <c r="U73" s="52">
        <f>IFERROR(VLOOKUP($A73,'Activities Sample'!$A:$M,13,FALSE),0)</f>
        <v>17.125</v>
      </c>
      <c r="V73" s="52">
        <f>IFERROR(VLOOKUP($A73,'Activities Sample'!$A:$M,12,FALSE),0)</f>
        <v>16.25</v>
      </c>
      <c r="W73" s="56">
        <f>IFERROR(VLOOKUP($A73,'Activities Sample'!$A:$O,15,FALSE)/VLOOKUP($A73,'Activities Sample'!$A:$O,9,FALSE),0)</f>
        <v>0.6</v>
      </c>
      <c r="X73" s="55">
        <v>1.13328530259366</v>
      </c>
    </row>
    <row r="74" spans="1:24" s="57" customFormat="1" x14ac:dyDescent="0.55000000000000004">
      <c r="A74" s="50">
        <v>560</v>
      </c>
      <c r="B74" s="51">
        <v>3</v>
      </c>
      <c r="C74" s="51" t="s">
        <v>37</v>
      </c>
      <c r="D74" s="51" t="s">
        <v>38</v>
      </c>
      <c r="E74" s="52">
        <f>IFERROR(VLOOKUP($A74,'CNA Sample'!$A:$M,13,FALSE),0)</f>
        <v>20.872198780487796</v>
      </c>
      <c r="F74" s="53">
        <f>IFERROR(VLOOKUP($A74,'CNA Sample'!$A:$M,12,FALSE),0)</f>
        <v>21.01</v>
      </c>
      <c r="G74" s="54">
        <f>IFERROR(VLOOKUP($A74,'CNA Sample'!$A:$O,15,FALSE)/VLOOKUP($A74,'CNA Sample'!$A:$O,9,FALSE),0)</f>
        <v>0.48780487804878048</v>
      </c>
      <c r="H74" s="55">
        <v>2.1438950795373337</v>
      </c>
      <c r="I74" s="52">
        <f>IFERROR(VLOOKUP($A74,'Dietary Sample'!$A:$AA,27,FALSE),0)</f>
        <v>19.59183333333333</v>
      </c>
      <c r="J74" s="52">
        <f>IFERROR(VLOOKUP($A74,'Dietary Sample'!$A:$AA,26,FALSE),0)</f>
        <v>19.59675</v>
      </c>
      <c r="K74" s="54">
        <f>IFERROR(VLOOKUP($A74,'Dietary Sample'!$A:$AM,35,FALSE)/VLOOKUP($A74,'Dietary Sample'!$A:$AM,18,FALSE),0)</f>
        <v>0.5</v>
      </c>
      <c r="L74" s="55">
        <v>0.15627784688953</v>
      </c>
      <c r="M74" s="52">
        <f>IFERROR(VLOOKUP($A74,'Dietary Sample'!$A:$AA,23,FALSE),0)</f>
        <v>16.893359999999998</v>
      </c>
      <c r="N74" s="52">
        <f>IFERROR(VLOOKUP($A74,'Dietary Sample'!$A:$AA,22,FALSE),0)</f>
        <v>16.484999999999999</v>
      </c>
      <c r="O74" s="56">
        <f>IFERROR(VLOOKUP($A74,'Dietary Sample'!$A:$AM,30,FALSE)/VLOOKUP($A74,'Dietary Sample'!$A:$AM,17,FALSE),0)</f>
        <v>0.5</v>
      </c>
      <c r="P74" s="55">
        <v>0.78138923444765007</v>
      </c>
      <c r="Q74" s="52">
        <f>IFERROR(VLOOKUP($A74,'Housekeeping Sample'!$A:$O,15,FALSE),0)</f>
        <v>17.704999999999998</v>
      </c>
      <c r="R74" s="52">
        <f>IFERROR(VLOOKUP($A74,'Housekeeping Sample'!$A:$O,14,FALSE),0)</f>
        <v>17.704999999999998</v>
      </c>
      <c r="S74" s="56">
        <f>IFERROR(VLOOKUP($A74,'Housekeeping Sample'!$A:$P,16,FALSE)/VLOOKUP($A74,'Housekeeping Sample'!$A:$P,11,FALSE),0)</f>
        <v>0.5</v>
      </c>
      <c r="T74" s="55">
        <v>2.8585797093777295E-2</v>
      </c>
      <c r="U74" s="52">
        <f>IFERROR(VLOOKUP($A74,'Activities Sample'!$A:$M,13,FALSE),0)</f>
        <v>19.391124999999999</v>
      </c>
      <c r="V74" s="52">
        <f>IFERROR(VLOOKUP($A74,'Activities Sample'!$A:$M,12,FALSE),0)</f>
        <v>19.43975</v>
      </c>
      <c r="W74" s="56">
        <f>IFERROR(VLOOKUP($A74,'Activities Sample'!$A:$O,15,FALSE)/VLOOKUP($A74,'Activities Sample'!$A:$O,9,FALSE),0)</f>
        <v>0.5</v>
      </c>
      <c r="X74" s="55">
        <v>0.15614991662475847</v>
      </c>
    </row>
    <row r="75" spans="1:24" s="57" customFormat="1" x14ac:dyDescent="0.55000000000000004">
      <c r="A75" s="50">
        <v>563</v>
      </c>
      <c r="B75" s="51">
        <v>2</v>
      </c>
      <c r="C75" s="51" t="s">
        <v>49</v>
      </c>
      <c r="D75" s="51" t="s">
        <v>45</v>
      </c>
      <c r="E75" s="52">
        <f>IFERROR(VLOOKUP($A75,'CNA Sample'!$A:$M,13,FALSE),0)</f>
        <v>21.18</v>
      </c>
      <c r="F75" s="53">
        <f>IFERROR(VLOOKUP($A75,'CNA Sample'!$A:$M,12,FALSE),0)</f>
        <v>21</v>
      </c>
      <c r="G75" s="54">
        <f>IFERROR(VLOOKUP($A75,'CNA Sample'!$A:$O,15,FALSE)/VLOOKUP($A75,'CNA Sample'!$A:$O,9,FALSE),0)</f>
        <v>0.68888888888888888</v>
      </c>
      <c r="H75" s="55">
        <v>1.9160152906943573</v>
      </c>
      <c r="I75" s="52">
        <f>IFERROR(VLOOKUP($A75,'Dietary Sample'!$A:$AA,27,FALSE),0)</f>
        <v>18.377500000000001</v>
      </c>
      <c r="J75" s="52">
        <f>IFERROR(VLOOKUP($A75,'Dietary Sample'!$A:$AA,26,FALSE),0)</f>
        <v>17.755000000000003</v>
      </c>
      <c r="K75" s="54">
        <f>IFERROR(VLOOKUP($A75,'Dietary Sample'!$A:$AM,35,FALSE)/VLOOKUP($A75,'Dietary Sample'!$A:$AM,18,FALSE),0)</f>
        <v>0.5</v>
      </c>
      <c r="L75" s="55">
        <v>0.39826806894759198</v>
      </c>
      <c r="M75" s="52">
        <f>IFERROR(VLOOKUP($A75,'Dietary Sample'!$A:$AA,23,FALSE),0)</f>
        <v>17.05</v>
      </c>
      <c r="N75" s="52">
        <f>IFERROR(VLOOKUP($A75,'Dietary Sample'!$A:$AA,22,FALSE),0)</f>
        <v>16.5</v>
      </c>
      <c r="O75" s="56">
        <f>IFERROR(VLOOKUP($A75,'Dietary Sample'!$A:$AM,30,FALSE)/VLOOKUP($A75,'Dietary Sample'!$A:$AM,17,FALSE),0)</f>
        <v>0.2</v>
      </c>
      <c r="P75" s="55">
        <v>0.49783508618449002</v>
      </c>
      <c r="Q75" s="52">
        <f>IFERROR(VLOOKUP($A75,'Housekeeping Sample'!$A:$O,15,FALSE),0)</f>
        <v>16.333333333333332</v>
      </c>
      <c r="R75" s="52">
        <f>IFERROR(VLOOKUP($A75,'Housekeeping Sample'!$A:$O,14,FALSE),0)</f>
        <v>16.25</v>
      </c>
      <c r="S75" s="56">
        <f>IFERROR(VLOOKUP($A75,'Housekeeping Sample'!$A:$P,16,FALSE)/VLOOKUP($A75,'Housekeeping Sample'!$A:$P,11,FALSE),0)</f>
        <v>0.5</v>
      </c>
      <c r="T75" s="55">
        <v>0.41952416272037429</v>
      </c>
      <c r="U75" s="52">
        <f>IFERROR(VLOOKUP($A75,'Activities Sample'!$A:$M,13,FALSE),0)</f>
        <v>19.05</v>
      </c>
      <c r="V75" s="52">
        <f>IFERROR(VLOOKUP($A75,'Activities Sample'!$A:$M,12,FALSE),0)</f>
        <v>19.05</v>
      </c>
      <c r="W75" s="56">
        <f>IFERROR(VLOOKUP($A75,'Activities Sample'!$A:$O,15,FALSE)/VLOOKUP($A75,'Activities Sample'!$A:$O,9,FALSE),0)</f>
        <v>0</v>
      </c>
      <c r="X75" s="55">
        <v>0.10184287099903007</v>
      </c>
    </row>
    <row r="76" spans="1:24" s="57" customFormat="1" x14ac:dyDescent="0.55000000000000004">
      <c r="A76" s="50">
        <v>567</v>
      </c>
      <c r="B76" s="51">
        <v>3</v>
      </c>
      <c r="C76" s="51" t="s">
        <v>37</v>
      </c>
      <c r="D76" s="51" t="s">
        <v>43</v>
      </c>
      <c r="E76" s="52">
        <f>IFERROR(VLOOKUP($A76,'CNA Sample'!$A:$M,13,FALSE),0)</f>
        <v>0</v>
      </c>
      <c r="F76" s="53">
        <f>IFERROR(VLOOKUP($A76,'CNA Sample'!$A:$M,12,FALSE),0)</f>
        <v>0</v>
      </c>
      <c r="G76" s="54">
        <f>IFERROR(VLOOKUP($A76,'CNA Sample'!$A:$O,15,FALSE)/VLOOKUP($A76,'CNA Sample'!$A:$O,9,FALSE),0)</f>
        <v>0</v>
      </c>
      <c r="H76" s="55">
        <v>0</v>
      </c>
      <c r="I76" s="52">
        <f>IFERROR(VLOOKUP($A76,'Dietary Sample'!$A:$AA,27,FALSE),0)</f>
        <v>0</v>
      </c>
      <c r="J76" s="52">
        <f>IFERROR(VLOOKUP($A76,'Dietary Sample'!$A:$AA,26,FALSE),0)</f>
        <v>0</v>
      </c>
      <c r="K76" s="54">
        <f>IFERROR(VLOOKUP($A76,'Dietary Sample'!$A:$AM,35,FALSE)/VLOOKUP($A76,'Dietary Sample'!$A:$AM,18,FALSE),0)</f>
        <v>0</v>
      </c>
      <c r="L76" s="55">
        <v>0</v>
      </c>
      <c r="M76" s="52">
        <f>IFERROR(VLOOKUP($A76,'Dietary Sample'!$A:$AA,23,FALSE),0)</f>
        <v>0</v>
      </c>
      <c r="N76" s="52">
        <f>IFERROR(VLOOKUP($A76,'Dietary Sample'!$A:$AA,22,FALSE),0)</f>
        <v>0</v>
      </c>
      <c r="O76" s="56">
        <f>IFERROR(VLOOKUP($A76,'Dietary Sample'!$A:$AM,30,FALSE)/VLOOKUP($A76,'Dietary Sample'!$A:$AM,17,FALSE),0)</f>
        <v>0</v>
      </c>
      <c r="P76" s="55">
        <v>0</v>
      </c>
      <c r="Q76" s="52">
        <f>IFERROR(VLOOKUP($A76,'Housekeeping Sample'!$A:$O,15,FALSE),0)</f>
        <v>0</v>
      </c>
      <c r="R76" s="52">
        <f>IFERROR(VLOOKUP($A76,'Housekeeping Sample'!$A:$O,14,FALSE),0)</f>
        <v>0</v>
      </c>
      <c r="S76" s="56">
        <f>IFERROR(VLOOKUP($A76,'Housekeeping Sample'!$A:$P,16,FALSE)/VLOOKUP($A76,'Housekeeping Sample'!$A:$P,11,FALSE),0)</f>
        <v>0</v>
      </c>
      <c r="T76" s="55">
        <v>0</v>
      </c>
      <c r="U76" s="52">
        <f>IFERROR(VLOOKUP($A76,'Activities Sample'!$A:$M,13,FALSE),0)</f>
        <v>16.698</v>
      </c>
      <c r="V76" s="52">
        <f>IFERROR(VLOOKUP($A76,'Activities Sample'!$A:$M,12,FALSE),0)</f>
        <v>16.7</v>
      </c>
      <c r="W76" s="56">
        <f>IFERROR(VLOOKUP($A76,'Activities Sample'!$A:$O,15,FALSE)/VLOOKUP($A76,'Activities Sample'!$A:$O,9,FALSE),0)</f>
        <v>0.4</v>
      </c>
      <c r="X76" s="55">
        <v>0.25905890878972976</v>
      </c>
    </row>
    <row r="77" spans="1:24" s="57" customFormat="1" x14ac:dyDescent="0.55000000000000004">
      <c r="A77" s="50">
        <v>571</v>
      </c>
      <c r="B77" s="51">
        <v>2</v>
      </c>
      <c r="C77" s="51" t="s">
        <v>49</v>
      </c>
      <c r="D77" s="51" t="s">
        <v>40</v>
      </c>
      <c r="E77" s="52">
        <f>IFERROR(VLOOKUP($A77,'CNA Sample'!$A:$M,13,FALSE),0)</f>
        <v>0</v>
      </c>
      <c r="F77" s="53">
        <f>IFERROR(VLOOKUP($A77,'CNA Sample'!$A:$M,12,FALSE),0)</f>
        <v>0</v>
      </c>
      <c r="G77" s="54">
        <f>IFERROR(VLOOKUP($A77,'CNA Sample'!$A:$O,15,FALSE)/VLOOKUP($A77,'CNA Sample'!$A:$O,9,FALSE),0)</f>
        <v>0</v>
      </c>
      <c r="H77" s="55">
        <v>0</v>
      </c>
      <c r="I77" s="52">
        <f>IFERROR(VLOOKUP($A77,'Dietary Sample'!$A:$AA,27,FALSE),0)</f>
        <v>0</v>
      </c>
      <c r="J77" s="52">
        <f>IFERROR(VLOOKUP($A77,'Dietary Sample'!$A:$AA,26,FALSE),0)</f>
        <v>0</v>
      </c>
      <c r="K77" s="54">
        <f>IFERROR(VLOOKUP($A77,'Dietary Sample'!$A:$AM,35,FALSE)/VLOOKUP($A77,'Dietary Sample'!$A:$AM,18,FALSE),0)</f>
        <v>0</v>
      </c>
      <c r="L77" s="55">
        <v>0</v>
      </c>
      <c r="M77" s="52">
        <f>IFERROR(VLOOKUP($A77,'Dietary Sample'!$A:$AA,23,FALSE),0)</f>
        <v>0</v>
      </c>
      <c r="N77" s="52">
        <f>IFERROR(VLOOKUP($A77,'Dietary Sample'!$A:$AA,22,FALSE),0)</f>
        <v>0</v>
      </c>
      <c r="O77" s="56">
        <f>IFERROR(VLOOKUP($A77,'Dietary Sample'!$A:$AM,30,FALSE)/VLOOKUP($A77,'Dietary Sample'!$A:$AM,17,FALSE),0)</f>
        <v>0</v>
      </c>
      <c r="P77" s="55">
        <v>0</v>
      </c>
      <c r="Q77" s="52">
        <f>IFERROR(VLOOKUP($A77,'Housekeeping Sample'!$A:$O,15,FALSE),0)</f>
        <v>0</v>
      </c>
      <c r="R77" s="52">
        <f>IFERROR(VLOOKUP($A77,'Housekeeping Sample'!$A:$O,14,FALSE),0)</f>
        <v>0</v>
      </c>
      <c r="S77" s="56">
        <f>IFERROR(VLOOKUP($A77,'Housekeeping Sample'!$A:$P,16,FALSE)/VLOOKUP($A77,'Housekeeping Sample'!$A:$P,11,FALSE),0)</f>
        <v>0</v>
      </c>
      <c r="T77" s="55">
        <v>0</v>
      </c>
      <c r="U77" s="52">
        <f>IFERROR(VLOOKUP($A77,'Activities Sample'!$A:$M,13,FALSE),0)</f>
        <v>0</v>
      </c>
      <c r="V77" s="52">
        <f>IFERROR(VLOOKUP($A77,'Activities Sample'!$A:$M,12,FALSE),0)</f>
        <v>0</v>
      </c>
      <c r="W77" s="56">
        <f>IFERROR(VLOOKUP($A77,'Activities Sample'!$A:$O,15,FALSE)/VLOOKUP($A77,'Activities Sample'!$A:$O,9,FALSE),0)</f>
        <v>0</v>
      </c>
      <c r="X77" s="55">
        <v>0.33271288971614704</v>
      </c>
    </row>
    <row r="78" spans="1:24" s="57" customFormat="1" x14ac:dyDescent="0.55000000000000004">
      <c r="A78" s="50">
        <v>572</v>
      </c>
      <c r="B78" s="51">
        <v>2</v>
      </c>
      <c r="C78" s="51" t="s">
        <v>49</v>
      </c>
      <c r="D78" s="51" t="s">
        <v>43</v>
      </c>
      <c r="E78" s="52">
        <f>IFERROR(VLOOKUP($A78,'CNA Sample'!$A:$M,13,FALSE),0)</f>
        <v>22.018461538461541</v>
      </c>
      <c r="F78" s="53">
        <f>IFERROR(VLOOKUP($A78,'CNA Sample'!$A:$M,12,FALSE),0)</f>
        <v>21.88</v>
      </c>
      <c r="G78" s="54">
        <f>IFERROR(VLOOKUP($A78,'CNA Sample'!$A:$O,15,FALSE)/VLOOKUP($A78,'CNA Sample'!$A:$O,9,FALSE),0)</f>
        <v>0.61538461538461542</v>
      </c>
      <c r="H78" s="55">
        <v>3.3498927326360954</v>
      </c>
      <c r="I78" s="52">
        <f>IFERROR(VLOOKUP($A78,'Dietary Sample'!$A:$AA,27,FALSE),0)</f>
        <v>17.86</v>
      </c>
      <c r="J78" s="52">
        <f>IFERROR(VLOOKUP($A78,'Dietary Sample'!$A:$AA,26,FALSE),0)</f>
        <v>17.36</v>
      </c>
      <c r="K78" s="54">
        <f>IFERROR(VLOOKUP($A78,'Dietary Sample'!$A:$AM,35,FALSE)/VLOOKUP($A78,'Dietary Sample'!$A:$AM,18,FALSE),0)</f>
        <v>0</v>
      </c>
      <c r="L78" s="55">
        <v>0.29522904020088248</v>
      </c>
      <c r="M78" s="52">
        <f>IFERROR(VLOOKUP($A78,'Dietary Sample'!$A:$AA,23,FALSE),0)</f>
        <v>15.781176470588237</v>
      </c>
      <c r="N78" s="52">
        <f>IFERROR(VLOOKUP($A78,'Dietary Sample'!$A:$AA,22,FALSE),0)</f>
        <v>15.61</v>
      </c>
      <c r="O78" s="56">
        <f>IFERROR(VLOOKUP($A78,'Dietary Sample'!$A:$AM,30,FALSE)/VLOOKUP($A78,'Dietary Sample'!$A:$AM,17,FALSE),0)</f>
        <v>0.47058823529411764</v>
      </c>
      <c r="P78" s="55">
        <v>1.0037787366830004</v>
      </c>
      <c r="Q78" s="52">
        <f>IFERROR(VLOOKUP($A78,'Housekeeping Sample'!$A:$O,15,FALSE),0)</f>
        <v>15.4575</v>
      </c>
      <c r="R78" s="52">
        <f>IFERROR(VLOOKUP($A78,'Housekeeping Sample'!$A:$O,14,FALSE),0)</f>
        <v>15.61</v>
      </c>
      <c r="S78" s="56">
        <f>IFERROR(VLOOKUP($A78,'Housekeeping Sample'!$A:$P,16,FALSE)/VLOOKUP($A78,'Housekeeping Sample'!$A:$P,11,FALSE),0)</f>
        <v>0.25</v>
      </c>
      <c r="T78" s="55">
        <v>0.44241083400375436</v>
      </c>
      <c r="U78" s="52">
        <f>IFERROR(VLOOKUP($A78,'Activities Sample'!$A:$M,13,FALSE),0)</f>
        <v>16.05</v>
      </c>
      <c r="V78" s="52">
        <f>IFERROR(VLOOKUP($A78,'Activities Sample'!$A:$M,12,FALSE),0)</f>
        <v>16.05</v>
      </c>
      <c r="W78" s="56">
        <f>IFERROR(VLOOKUP($A78,'Activities Sample'!$A:$O,15,FALSE)/VLOOKUP($A78,'Activities Sample'!$A:$O,9,FALSE),0)</f>
        <v>0</v>
      </c>
      <c r="X78" s="55">
        <v>0.39414052024671492</v>
      </c>
    </row>
    <row r="79" spans="1:24" s="57" customFormat="1" x14ac:dyDescent="0.55000000000000004">
      <c r="A79" s="50">
        <v>575</v>
      </c>
      <c r="B79" s="51">
        <v>3</v>
      </c>
      <c r="C79" s="51" t="s">
        <v>37</v>
      </c>
      <c r="D79" s="51" t="s">
        <v>43</v>
      </c>
      <c r="E79" s="52">
        <f>IFERROR(VLOOKUP($A79,'CNA Sample'!$A:$M,13,FALSE),0)</f>
        <v>0</v>
      </c>
      <c r="F79" s="53">
        <f>IFERROR(VLOOKUP($A79,'CNA Sample'!$A:$M,12,FALSE),0)</f>
        <v>0</v>
      </c>
      <c r="G79" s="54">
        <f>IFERROR(VLOOKUP($A79,'CNA Sample'!$A:$O,15,FALSE)/VLOOKUP($A79,'CNA Sample'!$A:$O,9,FALSE),0)</f>
        <v>0</v>
      </c>
      <c r="H79" s="55">
        <v>0</v>
      </c>
      <c r="I79" s="52">
        <f>IFERROR(VLOOKUP($A79,'Dietary Sample'!$A:$AA,27,FALSE),0)</f>
        <v>22.826666666666664</v>
      </c>
      <c r="J79" s="52">
        <f>IFERROR(VLOOKUP($A79,'Dietary Sample'!$A:$AA,26,FALSE),0)</f>
        <v>22.29</v>
      </c>
      <c r="K79" s="54">
        <f>IFERROR(VLOOKUP($A79,'Dietary Sample'!$A:$AM,35,FALSE)/VLOOKUP($A79,'Dietary Sample'!$A:$AM,18,FALSE),0)</f>
        <v>0.5</v>
      </c>
      <c r="L79" s="55">
        <v>0.12210229276895943</v>
      </c>
      <c r="M79" s="52">
        <f>IFERROR(VLOOKUP($A79,'Dietary Sample'!$A:$AA,23,FALSE),0)</f>
        <v>17.402941176470591</v>
      </c>
      <c r="N79" s="52">
        <f>IFERROR(VLOOKUP($A79,'Dietary Sample'!$A:$AA,22,FALSE),0)</f>
        <v>16.399999999999999</v>
      </c>
      <c r="O79" s="56">
        <f>IFERROR(VLOOKUP($A79,'Dietary Sample'!$A:$AM,30,FALSE)/VLOOKUP($A79,'Dietary Sample'!$A:$AM,17,FALSE),0)</f>
        <v>0.47058823529411764</v>
      </c>
      <c r="P79" s="55">
        <v>0.51893474426807762</v>
      </c>
      <c r="Q79" s="52">
        <f>IFERROR(VLOOKUP($A79,'Housekeeping Sample'!$A:$O,15,FALSE),0)</f>
        <v>19.443333333333335</v>
      </c>
      <c r="R79" s="52">
        <f>IFERROR(VLOOKUP($A79,'Housekeeping Sample'!$A:$O,14,FALSE),0)</f>
        <v>19.7</v>
      </c>
      <c r="S79" s="56">
        <f>IFERROR(VLOOKUP($A79,'Housekeeping Sample'!$A:$P,16,FALSE)/VLOOKUP($A79,'Housekeeping Sample'!$A:$P,11,FALSE),0)</f>
        <v>0.5</v>
      </c>
      <c r="T79" s="55">
        <v>0.28442328042328041</v>
      </c>
      <c r="U79" s="52">
        <f>IFERROR(VLOOKUP($A79,'Activities Sample'!$A:$M,13,FALSE),0)</f>
        <v>0</v>
      </c>
      <c r="V79" s="52">
        <f>IFERROR(VLOOKUP($A79,'Activities Sample'!$A:$M,12,FALSE),0)</f>
        <v>0</v>
      </c>
      <c r="W79" s="56">
        <f>IFERROR(VLOOKUP($A79,'Activities Sample'!$A:$O,15,FALSE)/VLOOKUP($A79,'Activities Sample'!$A:$O,9,FALSE),0)</f>
        <v>0</v>
      </c>
      <c r="X79" s="55">
        <v>0</v>
      </c>
    </row>
    <row r="80" spans="1:24" s="57" customFormat="1" x14ac:dyDescent="0.55000000000000004">
      <c r="A80" s="50">
        <v>584</v>
      </c>
      <c r="B80" s="51">
        <v>3</v>
      </c>
      <c r="C80" s="51" t="s">
        <v>37</v>
      </c>
      <c r="D80" s="51" t="s">
        <v>45</v>
      </c>
      <c r="E80" s="52">
        <f>IFERROR(VLOOKUP($A80,'CNA Sample'!$A:$M,13,FALSE),0)</f>
        <v>21.162857142857142</v>
      </c>
      <c r="F80" s="53">
        <f>IFERROR(VLOOKUP($A80,'CNA Sample'!$A:$M,12,FALSE),0)</f>
        <v>21</v>
      </c>
      <c r="G80" s="54">
        <f>IFERROR(VLOOKUP($A80,'CNA Sample'!$A:$O,15,FALSE)/VLOOKUP($A80,'CNA Sample'!$A:$O,9,FALSE),0)</f>
        <v>0.52380952380952384</v>
      </c>
      <c r="H80" s="55">
        <v>1.0745182673038385</v>
      </c>
      <c r="I80" s="52">
        <f>IFERROR(VLOOKUP($A80,'Dietary Sample'!$A:$AA,27,FALSE),0)</f>
        <v>21.423333333333332</v>
      </c>
      <c r="J80" s="52">
        <f>IFERROR(VLOOKUP($A80,'Dietary Sample'!$A:$AA,26,FALSE),0)</f>
        <v>21</v>
      </c>
      <c r="K80" s="54">
        <f>IFERROR(VLOOKUP($A80,'Dietary Sample'!$A:$AM,35,FALSE)/VLOOKUP($A80,'Dietary Sample'!$A:$AM,18,FALSE),0)</f>
        <v>0.33333333333333331</v>
      </c>
      <c r="L80" s="55">
        <v>0.12837983659626948</v>
      </c>
      <c r="M80" s="52">
        <f>IFERROR(VLOOKUP($A80,'Dietary Sample'!$A:$AA,23,FALSE),0)</f>
        <v>16.706363636363637</v>
      </c>
      <c r="N80" s="52">
        <f>IFERROR(VLOOKUP($A80,'Dietary Sample'!$A:$AA,22,FALSE),0)</f>
        <v>16.350000000000001</v>
      </c>
      <c r="O80" s="56">
        <f>IFERROR(VLOOKUP($A80,'Dietary Sample'!$A:$AM,30,FALSE)/VLOOKUP($A80,'Dietary Sample'!$A:$AM,17,FALSE),0)</f>
        <v>0.45454545454545453</v>
      </c>
      <c r="P80" s="55">
        <v>0.47072606751965468</v>
      </c>
      <c r="Q80" s="52">
        <f>IFERROR(VLOOKUP($A80,'Housekeeping Sample'!$A:$O,15,FALSE),0)</f>
        <v>0</v>
      </c>
      <c r="R80" s="52">
        <f>IFERROR(VLOOKUP($A80,'Housekeeping Sample'!$A:$O,14,FALSE),0)</f>
        <v>0</v>
      </c>
      <c r="S80" s="56">
        <f>IFERROR(VLOOKUP($A80,'Housekeeping Sample'!$A:$P,16,FALSE)/VLOOKUP($A80,'Housekeeping Sample'!$A:$P,11,FALSE),0)</f>
        <v>0</v>
      </c>
      <c r="T80" s="55">
        <v>0</v>
      </c>
      <c r="U80" s="52">
        <f>IFERROR(VLOOKUP($A80,'Activities Sample'!$A:$M,13,FALSE),0)</f>
        <v>16.125</v>
      </c>
      <c r="V80" s="52">
        <f>IFERROR(VLOOKUP($A80,'Activities Sample'!$A:$M,12,FALSE),0)</f>
        <v>16.125</v>
      </c>
      <c r="W80" s="56">
        <f>IFERROR(VLOOKUP($A80,'Activities Sample'!$A:$O,15,FALSE)/VLOOKUP($A80,'Activities Sample'!$A:$O,9,FALSE),0)</f>
        <v>0.5</v>
      </c>
      <c r="X80" s="55">
        <v>0.12693078464621552</v>
      </c>
    </row>
    <row r="81" spans="1:24" s="57" customFormat="1" x14ac:dyDescent="0.55000000000000004">
      <c r="A81" s="50">
        <v>589</v>
      </c>
      <c r="B81" s="51">
        <v>2</v>
      </c>
      <c r="C81" s="51" t="s">
        <v>53</v>
      </c>
      <c r="D81" s="51" t="s">
        <v>43</v>
      </c>
      <c r="E81" s="52">
        <f>IFERROR(VLOOKUP($A81,'CNA Sample'!$A:$M,13,FALSE),0)</f>
        <v>0</v>
      </c>
      <c r="F81" s="53">
        <f>IFERROR(VLOOKUP($A81,'CNA Sample'!$A:$M,12,FALSE),0)</f>
        <v>0</v>
      </c>
      <c r="G81" s="54">
        <f>IFERROR(VLOOKUP($A81,'CNA Sample'!$A:$O,15,FALSE)/VLOOKUP($A81,'CNA Sample'!$A:$O,9,FALSE),0)</f>
        <v>0</v>
      </c>
      <c r="H81" s="55">
        <v>0</v>
      </c>
      <c r="I81" s="52">
        <f>IFERROR(VLOOKUP($A81,'Dietary Sample'!$A:$AA,27,FALSE),0)</f>
        <v>0</v>
      </c>
      <c r="J81" s="52">
        <f>IFERROR(VLOOKUP($A81,'Dietary Sample'!$A:$AA,26,FALSE),0)</f>
        <v>0</v>
      </c>
      <c r="K81" s="54">
        <f>IFERROR(VLOOKUP($A81,'Dietary Sample'!$A:$AM,35,FALSE)/VLOOKUP($A81,'Dietary Sample'!$A:$AM,18,FALSE),0)</f>
        <v>0</v>
      </c>
      <c r="L81" s="55">
        <v>0</v>
      </c>
      <c r="M81" s="52">
        <f>IFERROR(VLOOKUP($A81,'Dietary Sample'!$A:$AA,23,FALSE),0)</f>
        <v>0</v>
      </c>
      <c r="N81" s="52">
        <f>IFERROR(VLOOKUP($A81,'Dietary Sample'!$A:$AA,22,FALSE),0)</f>
        <v>0</v>
      </c>
      <c r="O81" s="56">
        <f>IFERROR(VLOOKUP($A81,'Dietary Sample'!$A:$AM,30,FALSE)/VLOOKUP($A81,'Dietary Sample'!$A:$AM,17,FALSE),0)</f>
        <v>0</v>
      </c>
      <c r="P81" s="55">
        <v>0</v>
      </c>
      <c r="Q81" s="52">
        <f>IFERROR(VLOOKUP($A81,'Housekeeping Sample'!$A:$O,15,FALSE),0)</f>
        <v>13.24</v>
      </c>
      <c r="R81" s="52">
        <f>IFERROR(VLOOKUP($A81,'Housekeeping Sample'!$A:$O,14,FALSE),0)</f>
        <v>14</v>
      </c>
      <c r="S81" s="56">
        <f>IFERROR(VLOOKUP($A81,'Housekeeping Sample'!$A:$P,16,FALSE)/VLOOKUP($A81,'Housekeeping Sample'!$A:$P,11,FALSE),0)</f>
        <v>0.4</v>
      </c>
      <c r="T81" s="55">
        <v>0.44525685471162935</v>
      </c>
      <c r="U81" s="52">
        <f>IFERROR(VLOOKUP($A81,'Activities Sample'!$A:$M,13,FALSE),0)</f>
        <v>0</v>
      </c>
      <c r="V81" s="52">
        <f>IFERROR(VLOOKUP($A81,'Activities Sample'!$A:$M,12,FALSE),0)</f>
        <v>0</v>
      </c>
      <c r="W81" s="56">
        <f>IFERROR(VLOOKUP($A81,'Activities Sample'!$A:$O,15,FALSE)/VLOOKUP($A81,'Activities Sample'!$A:$O,9,FALSE),0)</f>
        <v>0</v>
      </c>
      <c r="X81" s="55">
        <v>0</v>
      </c>
    </row>
    <row r="82" spans="1:24" s="57" customFormat="1" x14ac:dyDescent="0.55000000000000004">
      <c r="A82" s="50">
        <v>590</v>
      </c>
      <c r="B82" s="51">
        <v>1</v>
      </c>
      <c r="C82" s="51" t="s">
        <v>46</v>
      </c>
      <c r="D82" s="51" t="s">
        <v>43</v>
      </c>
      <c r="E82" s="52">
        <f>IFERROR(VLOOKUP($A82,'CNA Sample'!$A:$M,13,FALSE),0)</f>
        <v>20.935454545454547</v>
      </c>
      <c r="F82" s="53">
        <f>IFERROR(VLOOKUP($A82,'CNA Sample'!$A:$M,12,FALSE),0)</f>
        <v>20</v>
      </c>
      <c r="G82" s="54">
        <f>IFERROR(VLOOKUP($A82,'CNA Sample'!$A:$O,15,FALSE)/VLOOKUP($A82,'CNA Sample'!$A:$O,9,FALSE),0)</f>
        <v>0.63636363636363635</v>
      </c>
      <c r="H82" s="55">
        <v>1.7607898629960763</v>
      </c>
      <c r="I82" s="52">
        <f>IFERROR(VLOOKUP($A82,'Dietary Sample'!$A:$AA,27,FALSE),0)</f>
        <v>0</v>
      </c>
      <c r="J82" s="52">
        <f>IFERROR(VLOOKUP($A82,'Dietary Sample'!$A:$AA,26,FALSE),0)</f>
        <v>0</v>
      </c>
      <c r="K82" s="54">
        <f>IFERROR(VLOOKUP($A82,'Dietary Sample'!$A:$AM,35,FALSE)/VLOOKUP($A82,'Dietary Sample'!$A:$AM,18,FALSE),0)</f>
        <v>0</v>
      </c>
      <c r="L82" s="55">
        <v>0</v>
      </c>
      <c r="M82" s="52">
        <f>IFERROR(VLOOKUP($A82,'Dietary Sample'!$A:$AA,23,FALSE),0)</f>
        <v>0</v>
      </c>
      <c r="N82" s="52">
        <f>IFERROR(VLOOKUP($A82,'Dietary Sample'!$A:$AA,22,FALSE),0)</f>
        <v>0</v>
      </c>
      <c r="O82" s="56">
        <f>IFERROR(VLOOKUP($A82,'Dietary Sample'!$A:$AM,30,FALSE)/VLOOKUP($A82,'Dietary Sample'!$A:$AM,17,FALSE),0)</f>
        <v>0</v>
      </c>
      <c r="P82" s="55">
        <v>0</v>
      </c>
      <c r="Q82" s="52">
        <f>IFERROR(VLOOKUP($A82,'Housekeeping Sample'!$A:$O,15,FALSE),0)</f>
        <v>19.051666666666666</v>
      </c>
      <c r="R82" s="52">
        <f>IFERROR(VLOOKUP($A82,'Housekeeping Sample'!$A:$O,14,FALSE),0)</f>
        <v>18.8</v>
      </c>
      <c r="S82" s="56">
        <f>IFERROR(VLOOKUP($A82,'Housekeeping Sample'!$A:$P,16,FALSE)/VLOOKUP($A82,'Housekeeping Sample'!$A:$P,11,FALSE),0)</f>
        <v>0.5</v>
      </c>
      <c r="T82" s="55">
        <v>0.49321412491155853</v>
      </c>
      <c r="U82" s="52">
        <f>IFERROR(VLOOKUP($A82,'Activities Sample'!$A:$M,13,FALSE),0)</f>
        <v>16.752857142857142</v>
      </c>
      <c r="V82" s="52">
        <f>IFERROR(VLOOKUP($A82,'Activities Sample'!$A:$M,12,FALSE),0)</f>
        <v>16</v>
      </c>
      <c r="W82" s="56">
        <f>IFERROR(VLOOKUP($A82,'Activities Sample'!$A:$O,15,FALSE)/VLOOKUP($A82,'Activities Sample'!$A:$O,9,FALSE),0)</f>
        <v>0.8571428571428571</v>
      </c>
      <c r="X82" s="55">
        <v>0.30468900752556766</v>
      </c>
    </row>
    <row r="83" spans="1:24" s="57" customFormat="1" x14ac:dyDescent="0.55000000000000004">
      <c r="A83" s="50">
        <v>597</v>
      </c>
      <c r="B83" s="51">
        <v>1</v>
      </c>
      <c r="C83" s="51" t="s">
        <v>50</v>
      </c>
      <c r="D83" s="51" t="s">
        <v>45</v>
      </c>
      <c r="E83" s="52">
        <f>IFERROR(VLOOKUP($A83,'CNA Sample'!$A:$M,13,FALSE),0)</f>
        <v>20.328571428571429</v>
      </c>
      <c r="F83" s="53">
        <f>IFERROR(VLOOKUP($A83,'CNA Sample'!$A:$M,12,FALSE),0)</f>
        <v>20.3</v>
      </c>
      <c r="G83" s="54">
        <f>IFERROR(VLOOKUP($A83,'CNA Sample'!$A:$O,15,FALSE)/VLOOKUP($A83,'CNA Sample'!$A:$O,9,FALSE),0)</f>
        <v>0.5714285714285714</v>
      </c>
      <c r="H83" s="55">
        <v>2.3169945842188251</v>
      </c>
      <c r="I83" s="52">
        <f>IFERROR(VLOOKUP($A83,'Dietary Sample'!$A:$AA,27,FALSE),0)</f>
        <v>0</v>
      </c>
      <c r="J83" s="52">
        <f>IFERROR(VLOOKUP($A83,'Dietary Sample'!$A:$AA,26,FALSE),0)</f>
        <v>0</v>
      </c>
      <c r="K83" s="54">
        <f>IFERROR(VLOOKUP($A83,'Dietary Sample'!$A:$AM,35,FALSE)/VLOOKUP($A83,'Dietary Sample'!$A:$AM,18,FALSE),0)</f>
        <v>0</v>
      </c>
      <c r="L83" s="55">
        <v>0</v>
      </c>
      <c r="M83" s="52">
        <f>IFERROR(VLOOKUP($A83,'Dietary Sample'!$A:$AA,23,FALSE),0)</f>
        <v>0</v>
      </c>
      <c r="N83" s="52">
        <f>IFERROR(VLOOKUP($A83,'Dietary Sample'!$A:$AA,22,FALSE),0)</f>
        <v>0</v>
      </c>
      <c r="O83" s="56">
        <f>IFERROR(VLOOKUP($A83,'Dietary Sample'!$A:$AM,30,FALSE)/VLOOKUP($A83,'Dietary Sample'!$A:$AM,17,FALSE),0)</f>
        <v>0</v>
      </c>
      <c r="P83" s="55">
        <v>0</v>
      </c>
      <c r="Q83" s="52">
        <f>IFERROR(VLOOKUP($A83,'Housekeeping Sample'!$A:$O,15,FALSE),0)</f>
        <v>0</v>
      </c>
      <c r="R83" s="52">
        <f>IFERROR(VLOOKUP($A83,'Housekeeping Sample'!$A:$O,14,FALSE),0)</f>
        <v>0</v>
      </c>
      <c r="S83" s="56">
        <f>IFERROR(VLOOKUP($A83,'Housekeeping Sample'!$A:$P,16,FALSE)/VLOOKUP($A83,'Housekeeping Sample'!$A:$P,11,FALSE),0)</f>
        <v>0</v>
      </c>
      <c r="T83" s="55">
        <v>0</v>
      </c>
      <c r="U83" s="52">
        <f>IFERROR(VLOOKUP($A83,'Activities Sample'!$A:$M,13,FALSE),0)</f>
        <v>14.5</v>
      </c>
      <c r="V83" s="52">
        <f>IFERROR(VLOOKUP($A83,'Activities Sample'!$A:$M,12,FALSE),0)</f>
        <v>14.5</v>
      </c>
      <c r="W83" s="56">
        <f>IFERROR(VLOOKUP($A83,'Activities Sample'!$A:$O,15,FALSE)/VLOOKUP($A83,'Activities Sample'!$A:$O,9,FALSE),0)</f>
        <v>0</v>
      </c>
      <c r="X83" s="55">
        <v>0.21148968259409062</v>
      </c>
    </row>
    <row r="84" spans="1:24" s="57" customFormat="1" x14ac:dyDescent="0.55000000000000004">
      <c r="A84" s="50">
        <v>604</v>
      </c>
      <c r="B84" s="51">
        <v>3</v>
      </c>
      <c r="C84" s="51" t="s">
        <v>47</v>
      </c>
      <c r="D84" s="51" t="s">
        <v>43</v>
      </c>
      <c r="E84" s="52">
        <f>IFERROR(VLOOKUP($A84,'CNA Sample'!$A:$M,13,FALSE),0)</f>
        <v>21.876000000000005</v>
      </c>
      <c r="F84" s="53">
        <f>IFERROR(VLOOKUP($A84,'CNA Sample'!$A:$M,12,FALSE),0)</f>
        <v>21.13</v>
      </c>
      <c r="G84" s="54">
        <f>IFERROR(VLOOKUP($A84,'CNA Sample'!$A:$O,15,FALSE)/VLOOKUP($A84,'CNA Sample'!$A:$O,9,FALSE),0)</f>
        <v>0.56000000000000005</v>
      </c>
      <c r="H84" s="55">
        <v>2.2356540978204587</v>
      </c>
      <c r="I84" s="52">
        <f>IFERROR(VLOOKUP($A84,'Dietary Sample'!$A:$AA,27,FALSE),0)</f>
        <v>18.892500000000002</v>
      </c>
      <c r="J84" s="52">
        <f>IFERROR(VLOOKUP($A84,'Dietary Sample'!$A:$AA,26,FALSE),0)</f>
        <v>19.47</v>
      </c>
      <c r="K84" s="54">
        <f>IFERROR(VLOOKUP($A84,'Dietary Sample'!$A:$AM,35,FALSE)/VLOOKUP($A84,'Dietary Sample'!$A:$AM,18,FALSE),0)</f>
        <v>0.5</v>
      </c>
      <c r="L84" s="55">
        <v>0.33538891242605406</v>
      </c>
      <c r="M84" s="52">
        <f>IFERROR(VLOOKUP($A84,'Dietary Sample'!$A:$AA,23,FALSE),0)</f>
        <v>18.7075</v>
      </c>
      <c r="N84" s="52">
        <f>IFERROR(VLOOKUP($A84,'Dietary Sample'!$A:$AA,22,FALSE),0)</f>
        <v>17.82</v>
      </c>
      <c r="O84" s="56">
        <f>IFERROR(VLOOKUP($A84,'Dietary Sample'!$A:$AM,30,FALSE)/VLOOKUP($A84,'Dietary Sample'!$A:$AM,17,FALSE),0)</f>
        <v>0.5</v>
      </c>
      <c r="P84" s="55">
        <v>0.67077782485210813</v>
      </c>
      <c r="Q84" s="52">
        <f>IFERROR(VLOOKUP($A84,'Housekeeping Sample'!$A:$O,15,FALSE),0)</f>
        <v>16.130000000000003</v>
      </c>
      <c r="R84" s="52">
        <f>IFERROR(VLOOKUP($A84,'Housekeeping Sample'!$A:$O,14,FALSE),0)</f>
        <v>15.74</v>
      </c>
      <c r="S84" s="56">
        <f>IFERROR(VLOOKUP($A84,'Housekeeping Sample'!$A:$P,16,FALSE)/VLOOKUP($A84,'Housekeeping Sample'!$A:$P,11,FALSE),0)</f>
        <v>0</v>
      </c>
      <c r="T84" s="55">
        <v>0.41321847196723627</v>
      </c>
      <c r="U84" s="52">
        <f>IFERROR(VLOOKUP($A84,'Activities Sample'!$A:$M,13,FALSE),0)</f>
        <v>15.74</v>
      </c>
      <c r="V84" s="52">
        <f>IFERROR(VLOOKUP($A84,'Activities Sample'!$A:$M,12,FALSE),0)</f>
        <v>15.74</v>
      </c>
      <c r="W84" s="56">
        <f>IFERROR(VLOOKUP($A84,'Activities Sample'!$A:$O,15,FALSE)/VLOOKUP($A84,'Activities Sample'!$A:$O,9,FALSE),0)</f>
        <v>0</v>
      </c>
      <c r="X84" s="55">
        <v>0.3507979098997317</v>
      </c>
    </row>
    <row r="85" spans="1:24" s="57" customFormat="1" x14ac:dyDescent="0.55000000000000004">
      <c r="A85" s="50">
        <v>605</v>
      </c>
      <c r="B85" s="51">
        <v>3</v>
      </c>
      <c r="C85" s="51" t="s">
        <v>37</v>
      </c>
      <c r="D85" s="51" t="s">
        <v>40</v>
      </c>
      <c r="E85" s="52">
        <f>IFERROR(VLOOKUP($A85,'CNA Sample'!$A:$M,13,FALSE),0)</f>
        <v>0</v>
      </c>
      <c r="F85" s="53">
        <f>IFERROR(VLOOKUP($A85,'CNA Sample'!$A:$M,12,FALSE),0)</f>
        <v>0</v>
      </c>
      <c r="G85" s="54">
        <f>IFERROR(VLOOKUP($A85,'CNA Sample'!$A:$O,15,FALSE)/VLOOKUP($A85,'CNA Sample'!$A:$O,9,FALSE),0)</f>
        <v>0</v>
      </c>
      <c r="H85" s="55">
        <v>0</v>
      </c>
      <c r="I85" s="52">
        <f>IFERROR(VLOOKUP($A85,'Dietary Sample'!$A:$AA,27,FALSE),0)</f>
        <v>0</v>
      </c>
      <c r="J85" s="52">
        <f>IFERROR(VLOOKUP($A85,'Dietary Sample'!$A:$AA,26,FALSE),0)</f>
        <v>0</v>
      </c>
      <c r="K85" s="54">
        <f>IFERROR(VLOOKUP($A85,'Dietary Sample'!$A:$AM,35,FALSE)/VLOOKUP($A85,'Dietary Sample'!$A:$AM,18,FALSE),0)</f>
        <v>0</v>
      </c>
      <c r="L85" s="55">
        <v>0</v>
      </c>
      <c r="M85" s="52">
        <f>IFERROR(VLOOKUP($A85,'Dietary Sample'!$A:$AA,23,FALSE),0)</f>
        <v>0</v>
      </c>
      <c r="N85" s="52">
        <f>IFERROR(VLOOKUP($A85,'Dietary Sample'!$A:$AA,22,FALSE),0)</f>
        <v>0</v>
      </c>
      <c r="O85" s="56">
        <f>IFERROR(VLOOKUP($A85,'Dietary Sample'!$A:$AM,30,FALSE)/VLOOKUP($A85,'Dietary Sample'!$A:$AM,17,FALSE),0)</f>
        <v>0</v>
      </c>
      <c r="P85" s="55">
        <v>0</v>
      </c>
      <c r="Q85" s="52">
        <f>IFERROR(VLOOKUP($A85,'Housekeeping Sample'!$A:$O,15,FALSE),0)</f>
        <v>17.200909090909089</v>
      </c>
      <c r="R85" s="52">
        <f>IFERROR(VLOOKUP($A85,'Housekeeping Sample'!$A:$O,14,FALSE),0)</f>
        <v>16.91</v>
      </c>
      <c r="S85" s="56">
        <f>IFERROR(VLOOKUP($A85,'Housekeeping Sample'!$A:$P,16,FALSE)/VLOOKUP($A85,'Housekeeping Sample'!$A:$P,11,FALSE),0)</f>
        <v>0.45454545454545453</v>
      </c>
      <c r="T85" s="55">
        <v>0.50363316084993948</v>
      </c>
      <c r="U85" s="52">
        <f>IFERROR(VLOOKUP($A85,'Activities Sample'!$A:$M,13,FALSE),0)</f>
        <v>0</v>
      </c>
      <c r="V85" s="52">
        <f>IFERROR(VLOOKUP($A85,'Activities Sample'!$A:$M,12,FALSE),0)</f>
        <v>0</v>
      </c>
      <c r="W85" s="56">
        <f>IFERROR(VLOOKUP($A85,'Activities Sample'!$A:$O,15,FALSE)/VLOOKUP($A85,'Activities Sample'!$A:$O,9,FALSE),0)</f>
        <v>0</v>
      </c>
      <c r="X85" s="55">
        <v>0</v>
      </c>
    </row>
    <row r="86" spans="1:24" s="57" customFormat="1" x14ac:dyDescent="0.55000000000000004">
      <c r="A86" s="50">
        <v>606</v>
      </c>
      <c r="B86" s="51">
        <v>2</v>
      </c>
      <c r="C86" s="51" t="s">
        <v>42</v>
      </c>
      <c r="D86" s="51" t="s">
        <v>43</v>
      </c>
      <c r="E86" s="52">
        <f>IFERROR(VLOOKUP($A86,'CNA Sample'!$A:$M,13,FALSE),0)</f>
        <v>18.083333333333339</v>
      </c>
      <c r="F86" s="53">
        <f>IFERROR(VLOOKUP($A86,'CNA Sample'!$A:$M,12,FALSE),0)</f>
        <v>18.29</v>
      </c>
      <c r="G86" s="54">
        <f>IFERROR(VLOOKUP($A86,'CNA Sample'!$A:$O,15,FALSE)/VLOOKUP($A86,'CNA Sample'!$A:$O,9,FALSE),0)</f>
        <v>0.5</v>
      </c>
      <c r="H86" s="55">
        <v>2.0534252477380441</v>
      </c>
      <c r="I86" s="52">
        <f>IFERROR(VLOOKUP($A86,'Dietary Sample'!$A:$AA,27,FALSE),0)</f>
        <v>19.883333333333336</v>
      </c>
      <c r="J86" s="52">
        <f>IFERROR(VLOOKUP($A86,'Dietary Sample'!$A:$AA,26,FALSE),0)</f>
        <v>19.809999999999999</v>
      </c>
      <c r="K86" s="54">
        <f>IFERROR(VLOOKUP($A86,'Dietary Sample'!$A:$AM,35,FALSE)/VLOOKUP($A86,'Dietary Sample'!$A:$AM,18,FALSE),0)</f>
        <v>0.33333333333333331</v>
      </c>
      <c r="L86" s="55">
        <v>0.34956197041505099</v>
      </c>
      <c r="M86" s="52">
        <f>IFERROR(VLOOKUP($A86,'Dietary Sample'!$A:$AA,23,FALSE),0)</f>
        <v>17.622222222222224</v>
      </c>
      <c r="N86" s="52">
        <f>IFERROR(VLOOKUP($A86,'Dietary Sample'!$A:$AA,22,FALSE),0)</f>
        <v>17.649999999999999</v>
      </c>
      <c r="O86" s="56">
        <f>IFERROR(VLOOKUP($A86,'Dietary Sample'!$A:$AM,30,FALSE)/VLOOKUP($A86,'Dietary Sample'!$A:$AM,17,FALSE),0)</f>
        <v>0.33333333333333331</v>
      </c>
      <c r="P86" s="55">
        <v>1.048685911245153</v>
      </c>
      <c r="Q86" s="52">
        <f>IFERROR(VLOOKUP($A86,'Housekeeping Sample'!$A:$O,15,FALSE),0)</f>
        <v>17.622222222222224</v>
      </c>
      <c r="R86" s="52">
        <f>IFERROR(VLOOKUP($A86,'Housekeeping Sample'!$A:$O,14,FALSE),0)</f>
        <v>17.649999999999999</v>
      </c>
      <c r="S86" s="56">
        <f>IFERROR(VLOOKUP($A86,'Housekeeping Sample'!$A:$P,16,FALSE)/VLOOKUP($A86,'Housekeeping Sample'!$A:$P,11,FALSE),0)</f>
        <v>0.8</v>
      </c>
      <c r="T86" s="55">
        <v>0.40004308487720808</v>
      </c>
      <c r="U86" s="52">
        <f>IFERROR(VLOOKUP($A86,'Activities Sample'!$A:$M,13,FALSE),0)</f>
        <v>20.007999999999999</v>
      </c>
      <c r="V86" s="52">
        <f>IFERROR(VLOOKUP($A86,'Activities Sample'!$A:$M,12,FALSE),0)</f>
        <v>20.62</v>
      </c>
      <c r="W86" s="56">
        <f>IFERROR(VLOOKUP($A86,'Activities Sample'!$A:$O,15,FALSE)/VLOOKUP($A86,'Activities Sample'!$A:$O,9,FALSE),0)</f>
        <v>0</v>
      </c>
      <c r="X86" s="55">
        <v>0.41562544880080426</v>
      </c>
    </row>
    <row r="87" spans="1:24" s="57" customFormat="1" x14ac:dyDescent="0.55000000000000004">
      <c r="A87" s="50">
        <v>622</v>
      </c>
      <c r="B87" s="58">
        <v>3</v>
      </c>
      <c r="C87" s="58" t="s">
        <v>37</v>
      </c>
      <c r="D87" s="58" t="s">
        <v>45</v>
      </c>
      <c r="E87" s="59">
        <f>IFERROR(VLOOKUP($A87,'CNA Sample'!$A:$M,13,FALSE),0)</f>
        <v>0</v>
      </c>
      <c r="F87" s="53">
        <f>IFERROR(VLOOKUP($A87,'CNA Sample'!$A:$M,12,FALSE),0)</f>
        <v>0</v>
      </c>
      <c r="G87" s="60">
        <f>IFERROR(VLOOKUP($A87,'CNA Sample'!$A:$O,15,FALSE)/VLOOKUP($A87,'CNA Sample'!$A:$O,9,FALSE),0)</f>
        <v>0</v>
      </c>
      <c r="H87" s="55">
        <v>0</v>
      </c>
      <c r="I87" s="52">
        <f>IFERROR(VLOOKUP($A87,'Dietary Sample'!$A:$AA,27,FALSE),0)</f>
        <v>0</v>
      </c>
      <c r="J87" s="52">
        <f>IFERROR(VLOOKUP($A87,'Dietary Sample'!$A:$AA,26,FALSE),0)</f>
        <v>0</v>
      </c>
      <c r="K87" s="54">
        <f>IFERROR(VLOOKUP($A87,'Dietary Sample'!$A:$AM,35,FALSE)/VLOOKUP($A87,'Dietary Sample'!$A:$AM,18,FALSE),0)</f>
        <v>0</v>
      </c>
      <c r="L87" s="55">
        <v>0</v>
      </c>
      <c r="M87" s="52">
        <f>IFERROR(VLOOKUP($A87,'Dietary Sample'!$A:$AA,23,FALSE),0)</f>
        <v>0</v>
      </c>
      <c r="N87" s="52">
        <f>IFERROR(VLOOKUP($A87,'Dietary Sample'!$A:$AA,22,FALSE),0)</f>
        <v>0</v>
      </c>
      <c r="O87" s="56">
        <f>IFERROR(VLOOKUP($A87,'Dietary Sample'!$A:$AM,30,FALSE)/VLOOKUP($A87,'Dietary Sample'!$A:$AM,17,FALSE),0)</f>
        <v>0</v>
      </c>
      <c r="P87" s="55">
        <v>0</v>
      </c>
      <c r="Q87" s="52">
        <f>IFERROR(VLOOKUP($A87,'Housekeeping Sample'!$A:$O,15,FALSE),0)</f>
        <v>0</v>
      </c>
      <c r="R87" s="52">
        <f>IFERROR(VLOOKUP($A87,'Housekeeping Sample'!$A:$O,14,FALSE),0)</f>
        <v>0</v>
      </c>
      <c r="S87" s="56">
        <f>IFERROR(VLOOKUP($A87,'Housekeeping Sample'!$A:$P,16,FALSE)/VLOOKUP($A87,'Housekeeping Sample'!$A:$P,11,FALSE),0)</f>
        <v>0</v>
      </c>
      <c r="T87" s="55">
        <v>0</v>
      </c>
      <c r="U87" s="52">
        <f>IFERROR(VLOOKUP($A87,'Activities Sample'!$A:$M,13,FALSE),0)</f>
        <v>20.826250000000002</v>
      </c>
      <c r="V87" s="52">
        <f>IFERROR(VLOOKUP($A87,'Activities Sample'!$A:$M,12,FALSE),0)</f>
        <v>20.695</v>
      </c>
      <c r="W87" s="56">
        <f>IFERROR(VLOOKUP($A87,'Activities Sample'!$A:$O,15,FALSE)/VLOOKUP($A87,'Activities Sample'!$A:$O,9,FALSE),0)</f>
        <v>0.5</v>
      </c>
      <c r="X87" s="55">
        <v>0.15296785591857184</v>
      </c>
    </row>
    <row r="88" spans="1:24" s="57" customFormat="1" x14ac:dyDescent="0.55000000000000004">
      <c r="A88" s="50">
        <v>623</v>
      </c>
      <c r="B88" s="51">
        <v>3</v>
      </c>
      <c r="C88" s="51" t="s">
        <v>47</v>
      </c>
      <c r="D88" s="51" t="s">
        <v>43</v>
      </c>
      <c r="E88" s="52">
        <f>IFERROR(VLOOKUP($A88,'CNA Sample'!$A:$M,13,FALSE),0)</f>
        <v>0</v>
      </c>
      <c r="F88" s="53">
        <f>IFERROR(VLOOKUP($A88,'CNA Sample'!$A:$M,12,FALSE),0)</f>
        <v>0</v>
      </c>
      <c r="G88" s="54">
        <f>IFERROR(VLOOKUP($A88,'CNA Sample'!$A:$O,15,FALSE)/VLOOKUP($A88,'CNA Sample'!$A:$O,9,FALSE),0)</f>
        <v>0</v>
      </c>
      <c r="H88" s="55">
        <v>0</v>
      </c>
      <c r="I88" s="52">
        <f>IFERROR(VLOOKUP($A88,'Dietary Sample'!$A:$AA,27,FALSE),0)</f>
        <v>0</v>
      </c>
      <c r="J88" s="52">
        <f>IFERROR(VLOOKUP($A88,'Dietary Sample'!$A:$AA,26,FALSE),0)</f>
        <v>0</v>
      </c>
      <c r="K88" s="54">
        <f>IFERROR(VLOOKUP($A88,'Dietary Sample'!$A:$AM,35,FALSE)/VLOOKUP($A88,'Dietary Sample'!$A:$AM,18,FALSE),0)</f>
        <v>0</v>
      </c>
      <c r="L88" s="55">
        <v>0</v>
      </c>
      <c r="M88" s="52">
        <f>IFERROR(VLOOKUP($A88,'Dietary Sample'!$A:$AA,23,FALSE),0)</f>
        <v>0</v>
      </c>
      <c r="N88" s="52">
        <f>IFERROR(VLOOKUP($A88,'Dietary Sample'!$A:$AA,22,FALSE),0)</f>
        <v>0</v>
      </c>
      <c r="O88" s="56">
        <f>IFERROR(VLOOKUP($A88,'Dietary Sample'!$A:$AM,30,FALSE)/VLOOKUP($A88,'Dietary Sample'!$A:$AM,17,FALSE),0)</f>
        <v>0</v>
      </c>
      <c r="P88" s="55">
        <v>0</v>
      </c>
      <c r="Q88" s="52">
        <f>IFERROR(VLOOKUP($A88,'Housekeeping Sample'!$A:$O,15,FALSE),0)</f>
        <v>14.413333333333332</v>
      </c>
      <c r="R88" s="52">
        <f>IFERROR(VLOOKUP($A88,'Housekeeping Sample'!$A:$O,14,FALSE),0)</f>
        <v>14.28</v>
      </c>
      <c r="S88" s="56">
        <f>IFERROR(VLOOKUP($A88,'Housekeeping Sample'!$A:$P,16,FALSE)/VLOOKUP($A88,'Housekeeping Sample'!$A:$P,11,FALSE),0)</f>
        <v>0</v>
      </c>
      <c r="T88" s="55">
        <v>0.24415628732298242</v>
      </c>
      <c r="U88" s="52">
        <f>IFERROR(VLOOKUP($A88,'Activities Sample'!$A:$M,13,FALSE),0)</f>
        <v>0</v>
      </c>
      <c r="V88" s="52">
        <f>IFERROR(VLOOKUP($A88,'Activities Sample'!$A:$M,12,FALSE),0)</f>
        <v>0</v>
      </c>
      <c r="W88" s="56">
        <f>IFERROR(VLOOKUP($A88,'Activities Sample'!$A:$O,15,FALSE)/VLOOKUP($A88,'Activities Sample'!$A:$O,9,FALSE),0)</f>
        <v>0</v>
      </c>
      <c r="X88" s="55">
        <v>0</v>
      </c>
    </row>
    <row r="89" spans="1:24" s="57" customFormat="1" x14ac:dyDescent="0.55000000000000004">
      <c r="A89" s="50">
        <v>624</v>
      </c>
      <c r="B89" s="51">
        <v>3</v>
      </c>
      <c r="C89" s="51" t="s">
        <v>37</v>
      </c>
      <c r="D89" s="51" t="s">
        <v>43</v>
      </c>
      <c r="E89" s="52">
        <f>IFERROR(VLOOKUP($A89,'CNA Sample'!$A:$M,13,FALSE),0)</f>
        <v>0</v>
      </c>
      <c r="F89" s="53">
        <f>IFERROR(VLOOKUP($A89,'CNA Sample'!$A:$M,12,FALSE),0)</f>
        <v>0</v>
      </c>
      <c r="G89" s="54">
        <f>IFERROR(VLOOKUP($A89,'CNA Sample'!$A:$O,15,FALSE)/VLOOKUP($A89,'CNA Sample'!$A:$O,9,FALSE),0)</f>
        <v>0</v>
      </c>
      <c r="H89" s="55">
        <v>0</v>
      </c>
      <c r="I89" s="52">
        <f>IFERROR(VLOOKUP($A89,'Dietary Sample'!$A:$AA,27,FALSE),0)</f>
        <v>0</v>
      </c>
      <c r="J89" s="52">
        <f>IFERROR(VLOOKUP($A89,'Dietary Sample'!$A:$AA,26,FALSE),0)</f>
        <v>0</v>
      </c>
      <c r="K89" s="54">
        <f>IFERROR(VLOOKUP($A89,'Dietary Sample'!$A:$AM,35,FALSE)/VLOOKUP($A89,'Dietary Sample'!$A:$AM,18,FALSE),0)</f>
        <v>0</v>
      </c>
      <c r="L89" s="55">
        <v>0</v>
      </c>
      <c r="M89" s="52">
        <f>IFERROR(VLOOKUP($A89,'Dietary Sample'!$A:$AA,23,FALSE),0)</f>
        <v>0</v>
      </c>
      <c r="N89" s="52">
        <f>IFERROR(VLOOKUP($A89,'Dietary Sample'!$A:$AA,22,FALSE),0)</f>
        <v>0</v>
      </c>
      <c r="O89" s="56">
        <f>IFERROR(VLOOKUP($A89,'Dietary Sample'!$A:$AM,30,FALSE)/VLOOKUP($A89,'Dietary Sample'!$A:$AM,17,FALSE),0)</f>
        <v>0</v>
      </c>
      <c r="P89" s="55">
        <v>0</v>
      </c>
      <c r="Q89" s="52">
        <f>IFERROR(VLOOKUP($A89,'Housekeeping Sample'!$A:$O,15,FALSE),0)</f>
        <v>16.087142857142858</v>
      </c>
      <c r="R89" s="52">
        <f>IFERROR(VLOOKUP($A89,'Housekeeping Sample'!$A:$O,14,FALSE),0)</f>
        <v>16.21</v>
      </c>
      <c r="S89" s="56">
        <f>IFERROR(VLOOKUP($A89,'Housekeeping Sample'!$A:$P,16,FALSE)/VLOOKUP($A89,'Housekeeping Sample'!$A:$P,11,FALSE),0)</f>
        <v>0.5</v>
      </c>
      <c r="T89" s="55">
        <v>0.4764098357207463</v>
      </c>
      <c r="U89" s="52">
        <f>IFERROR(VLOOKUP($A89,'Activities Sample'!$A:$M,13,FALSE),0)</f>
        <v>17.095999999999997</v>
      </c>
      <c r="V89" s="52">
        <f>IFERROR(VLOOKUP($A89,'Activities Sample'!$A:$M,12,FALSE),0)</f>
        <v>17</v>
      </c>
      <c r="W89" s="56">
        <f>IFERROR(VLOOKUP($A89,'Activities Sample'!$A:$O,15,FALSE)/VLOOKUP($A89,'Activities Sample'!$A:$O,9,FALSE),0)</f>
        <v>0.6</v>
      </c>
      <c r="X89" s="55">
        <v>0.21713889064176184</v>
      </c>
    </row>
    <row r="90" spans="1:24" s="57" customFormat="1" x14ac:dyDescent="0.55000000000000004">
      <c r="A90" s="50">
        <v>636</v>
      </c>
      <c r="B90" s="51">
        <v>2</v>
      </c>
      <c r="C90" s="51" t="s">
        <v>53</v>
      </c>
      <c r="D90" s="51" t="s">
        <v>43</v>
      </c>
      <c r="E90" s="52">
        <f>IFERROR(VLOOKUP($A90,'CNA Sample'!$A:$M,13,FALSE),0)</f>
        <v>23.664444444444445</v>
      </c>
      <c r="F90" s="53">
        <f>IFERROR(VLOOKUP($A90,'CNA Sample'!$A:$M,12,FALSE),0)</f>
        <v>23.17</v>
      </c>
      <c r="G90" s="54">
        <f>IFERROR(VLOOKUP($A90,'CNA Sample'!$A:$O,15,FALSE)/VLOOKUP($A90,'CNA Sample'!$A:$O,9,FALSE),0)</f>
        <v>0.55555555555555558</v>
      </c>
      <c r="H90" s="55">
        <v>2.7809817301342723</v>
      </c>
      <c r="I90" s="52">
        <f>IFERROR(VLOOKUP($A90,'Dietary Sample'!$A:$AA,27,FALSE),0)</f>
        <v>22.786666666666665</v>
      </c>
      <c r="J90" s="52">
        <f>IFERROR(VLOOKUP($A90,'Dietary Sample'!$A:$AA,26,FALSE),0)</f>
        <v>22.83</v>
      </c>
      <c r="K90" s="54">
        <f>IFERROR(VLOOKUP($A90,'Dietary Sample'!$A:$AM,35,FALSE)/VLOOKUP($A90,'Dietary Sample'!$A:$AM,18,FALSE),0)</f>
        <v>0.33333333333333331</v>
      </c>
      <c r="L90" s="55">
        <v>0.83975346687211094</v>
      </c>
      <c r="M90" s="52">
        <f>IFERROR(VLOOKUP($A90,'Dietary Sample'!$A:$AA,23,FALSE),0)</f>
        <v>0</v>
      </c>
      <c r="N90" s="52">
        <f>IFERROR(VLOOKUP($A90,'Dietary Sample'!$A:$AA,22,FALSE),0)</f>
        <v>0</v>
      </c>
      <c r="O90" s="56">
        <f>IFERROR(VLOOKUP($A90,'Dietary Sample'!$A:$AM,30,FALSE)/VLOOKUP($A90,'Dietary Sample'!$A:$AM,17,FALSE),0)</f>
        <v>0</v>
      </c>
      <c r="P90" s="55">
        <v>0</v>
      </c>
      <c r="Q90" s="52">
        <f>IFERROR(VLOOKUP($A90,'Housekeeping Sample'!$A:$O,15,FALSE),0)</f>
        <v>18.914999999999999</v>
      </c>
      <c r="R90" s="52">
        <f>IFERROR(VLOOKUP($A90,'Housekeeping Sample'!$A:$O,14,FALSE),0)</f>
        <v>18.914999999999999</v>
      </c>
      <c r="S90" s="56">
        <f>IFERROR(VLOOKUP($A90,'Housekeeping Sample'!$A:$P,16,FALSE)/VLOOKUP($A90,'Housekeeping Sample'!$A:$P,11,FALSE),0)</f>
        <v>0.5</v>
      </c>
      <c r="T90" s="55">
        <v>0.38256658595641646</v>
      </c>
      <c r="U90" s="52">
        <f>IFERROR(VLOOKUP($A90,'Activities Sample'!$A:$M,13,FALSE),0)</f>
        <v>0</v>
      </c>
      <c r="V90" s="52">
        <f>IFERROR(VLOOKUP($A90,'Activities Sample'!$A:$M,12,FALSE),0)</f>
        <v>0</v>
      </c>
      <c r="W90" s="56">
        <f>IFERROR(VLOOKUP($A90,'Activities Sample'!$A:$O,15,FALSE)/VLOOKUP($A90,'Activities Sample'!$A:$O,9,FALSE),0)</f>
        <v>0</v>
      </c>
      <c r="X90" s="55">
        <v>0</v>
      </c>
    </row>
    <row r="91" spans="1:24" s="57" customFormat="1" x14ac:dyDescent="0.55000000000000004">
      <c r="A91" s="50">
        <v>642</v>
      </c>
      <c r="B91" s="51">
        <v>1</v>
      </c>
      <c r="C91" s="51" t="s">
        <v>46</v>
      </c>
      <c r="D91" s="51" t="s">
        <v>43</v>
      </c>
      <c r="E91" s="52">
        <f>IFERROR(VLOOKUP($A91,'CNA Sample'!$A:$M,13,FALSE),0)</f>
        <v>19.28240000000001</v>
      </c>
      <c r="F91" s="53">
        <f>IFERROR(VLOOKUP($A91,'CNA Sample'!$A:$M,12,FALSE),0)</f>
        <v>18.100000000000001</v>
      </c>
      <c r="G91" s="54">
        <f>IFERROR(VLOOKUP($A91,'CNA Sample'!$A:$O,15,FALSE)/VLOOKUP($A91,'CNA Sample'!$A:$O,9,FALSE),0)</f>
        <v>0.64</v>
      </c>
      <c r="H91" s="55">
        <v>2.8110571296854499</v>
      </c>
      <c r="I91" s="52">
        <f>IFERROR(VLOOKUP($A91,'Dietary Sample'!$A:$AA,27,FALSE),0)</f>
        <v>21.946666666666669</v>
      </c>
      <c r="J91" s="52">
        <f>IFERROR(VLOOKUP($A91,'Dietary Sample'!$A:$AA,26,FALSE),0)</f>
        <v>22.18</v>
      </c>
      <c r="K91" s="54">
        <f>IFERROR(VLOOKUP($A91,'Dietary Sample'!$A:$AM,35,FALSE)/VLOOKUP($A91,'Dietary Sample'!$A:$AM,18,FALSE),0)</f>
        <v>0.33333333333333331</v>
      </c>
      <c r="L91" s="55">
        <v>0.17725910180377696</v>
      </c>
      <c r="M91" s="52">
        <f>IFERROR(VLOOKUP($A91,'Dietary Sample'!$A:$AA,23,FALSE),0)</f>
        <v>18.50714285714286</v>
      </c>
      <c r="N91" s="52">
        <f>IFERROR(VLOOKUP($A91,'Dietary Sample'!$A:$AA,22,FALSE),0)</f>
        <v>17.355</v>
      </c>
      <c r="O91" s="56">
        <f>IFERROR(VLOOKUP($A91,'Dietary Sample'!$A:$AM,30,FALSE)/VLOOKUP($A91,'Dietary Sample'!$A:$AM,17,FALSE),0)</f>
        <v>0.5</v>
      </c>
      <c r="P91" s="55">
        <v>0.82720914175095905</v>
      </c>
      <c r="Q91" s="52">
        <f>IFERROR(VLOOKUP($A91,'Housekeeping Sample'!$A:$O,15,FALSE),0)</f>
        <v>18.166249999999998</v>
      </c>
      <c r="R91" s="52">
        <f>IFERROR(VLOOKUP($A91,'Housekeeping Sample'!$A:$O,14,FALSE),0)</f>
        <v>18.350000000000001</v>
      </c>
      <c r="S91" s="56">
        <f>IFERROR(VLOOKUP($A91,'Housekeeping Sample'!$A:$P,16,FALSE)/VLOOKUP($A91,'Housekeeping Sample'!$A:$P,11,FALSE),0)</f>
        <v>0.5</v>
      </c>
      <c r="T91" s="55">
        <v>0.53239476577183587</v>
      </c>
      <c r="U91" s="52">
        <f>IFERROR(VLOOKUP($A91,'Activities Sample'!$A:$M,13,FALSE),0)</f>
        <v>18.422777777777775</v>
      </c>
      <c r="V91" s="52">
        <f>IFERROR(VLOOKUP($A91,'Activities Sample'!$A:$M,12,FALSE),0)</f>
        <v>17.34</v>
      </c>
      <c r="W91" s="56">
        <f>IFERROR(VLOOKUP($A91,'Activities Sample'!$A:$O,15,FALSE)/VLOOKUP($A91,'Activities Sample'!$A:$O,9,FALSE),0)</f>
        <v>0.72222222222222221</v>
      </c>
      <c r="X91" s="55">
        <v>0.84364693783467504</v>
      </c>
    </row>
    <row r="92" spans="1:24" s="57" customFormat="1" x14ac:dyDescent="0.55000000000000004">
      <c r="A92" s="50">
        <v>644</v>
      </c>
      <c r="B92" s="51">
        <v>2</v>
      </c>
      <c r="C92" s="51" t="s">
        <v>39</v>
      </c>
      <c r="D92" s="51" t="s">
        <v>40</v>
      </c>
      <c r="E92" s="52">
        <f>IFERROR(VLOOKUP($A92,'CNA Sample'!$A:$M,13,FALSE),0)</f>
        <v>0</v>
      </c>
      <c r="F92" s="53">
        <f>IFERROR(VLOOKUP($A92,'CNA Sample'!$A:$M,12,FALSE),0)</f>
        <v>0</v>
      </c>
      <c r="G92" s="54">
        <f>IFERROR(VLOOKUP($A92,'CNA Sample'!$A:$O,15,FALSE)/VLOOKUP($A92,'CNA Sample'!$A:$O,9,FALSE),0)</f>
        <v>0</v>
      </c>
      <c r="H92" s="55">
        <v>0</v>
      </c>
      <c r="I92" s="52">
        <f>IFERROR(VLOOKUP($A92,'Dietary Sample'!$A:$AA,27,FALSE),0)</f>
        <v>17.399999999999999</v>
      </c>
      <c r="J92" s="52">
        <f>IFERROR(VLOOKUP($A92,'Dietary Sample'!$A:$AA,26,FALSE),0)</f>
        <v>17.22</v>
      </c>
      <c r="K92" s="54">
        <f>IFERROR(VLOOKUP($A92,'Dietary Sample'!$A:$AM,35,FALSE)/VLOOKUP($A92,'Dietary Sample'!$A:$AM,18,FALSE),0)</f>
        <v>1</v>
      </c>
      <c r="L92" s="55">
        <v>0.50840020722978196</v>
      </c>
      <c r="M92" s="52">
        <f>IFERROR(VLOOKUP($A92,'Dietary Sample'!$A:$AA,23,FALSE),0)</f>
        <v>15.585999999999999</v>
      </c>
      <c r="N92" s="52">
        <f>IFERROR(VLOOKUP($A92,'Dietary Sample'!$A:$AA,22,FALSE),0)</f>
        <v>15.84</v>
      </c>
      <c r="O92" s="56">
        <f>IFERROR(VLOOKUP($A92,'Dietary Sample'!$A:$AM,30,FALSE)/VLOOKUP($A92,'Dietary Sample'!$A:$AM,17,FALSE),0)</f>
        <v>0</v>
      </c>
      <c r="P92" s="55">
        <v>0.40672016578382547</v>
      </c>
      <c r="Q92" s="52">
        <f>IFERROR(VLOOKUP($A92,'Housekeeping Sample'!$A:$O,15,FALSE),0)</f>
        <v>0</v>
      </c>
      <c r="R92" s="52">
        <f>IFERROR(VLOOKUP($A92,'Housekeeping Sample'!$A:$O,14,FALSE),0)</f>
        <v>0</v>
      </c>
      <c r="S92" s="56">
        <f>IFERROR(VLOOKUP($A92,'Housekeeping Sample'!$A:$P,16,FALSE)/VLOOKUP($A92,'Housekeeping Sample'!$A:$P,11,FALSE),0)</f>
        <v>0</v>
      </c>
      <c r="T92" s="55">
        <v>0</v>
      </c>
      <c r="U92" s="52">
        <f>IFERROR(VLOOKUP($A92,'Activities Sample'!$A:$M,13,FALSE),0)</f>
        <v>0</v>
      </c>
      <c r="V92" s="52">
        <f>IFERROR(VLOOKUP($A92,'Activities Sample'!$A:$M,12,FALSE),0)</f>
        <v>0</v>
      </c>
      <c r="W92" s="56">
        <f>IFERROR(VLOOKUP($A92,'Activities Sample'!$A:$O,15,FALSE)/VLOOKUP($A92,'Activities Sample'!$A:$O,9,FALSE),0)</f>
        <v>0</v>
      </c>
      <c r="X92" s="55">
        <v>0</v>
      </c>
    </row>
    <row r="93" spans="1:24" s="57" customFormat="1" x14ac:dyDescent="0.55000000000000004">
      <c r="A93" s="50">
        <v>646</v>
      </c>
      <c r="B93" s="51">
        <v>3</v>
      </c>
      <c r="C93" s="51" t="s">
        <v>37</v>
      </c>
      <c r="D93" s="51" t="s">
        <v>40</v>
      </c>
      <c r="E93" s="52">
        <f>IFERROR(VLOOKUP($A93,'CNA Sample'!$A:$M,13,FALSE),0)</f>
        <v>19.315076923076923</v>
      </c>
      <c r="F93" s="53">
        <f>IFERROR(VLOOKUP($A93,'CNA Sample'!$A:$M,12,FALSE),0)</f>
        <v>18.57</v>
      </c>
      <c r="G93" s="54">
        <f>IFERROR(VLOOKUP($A93,'CNA Sample'!$A:$O,15,FALSE)/VLOOKUP($A93,'CNA Sample'!$A:$O,9,FALSE),0)</f>
        <v>0.55384615384615388</v>
      </c>
      <c r="H93" s="55">
        <v>2.7731790675069763</v>
      </c>
      <c r="I93" s="52">
        <f>IFERROR(VLOOKUP($A93,'Dietary Sample'!$A:$AA,27,FALSE),0)</f>
        <v>20.232222222222219</v>
      </c>
      <c r="J93" s="52">
        <f>IFERROR(VLOOKUP($A93,'Dietary Sample'!$A:$AA,26,FALSE),0)</f>
        <v>20.52</v>
      </c>
      <c r="K93" s="54">
        <f>IFERROR(VLOOKUP($A93,'Dietary Sample'!$A:$AM,35,FALSE)/VLOOKUP($A93,'Dietary Sample'!$A:$AM,18,FALSE),0)</f>
        <v>0.33333333333333331</v>
      </c>
      <c r="L93" s="55">
        <v>0.15321347944690059</v>
      </c>
      <c r="M93" s="52">
        <f>IFERROR(VLOOKUP($A93,'Dietary Sample'!$A:$AA,23,FALSE),0)</f>
        <v>15.493802816901399</v>
      </c>
      <c r="N93" s="52">
        <f>IFERROR(VLOOKUP($A93,'Dietary Sample'!$A:$AA,22,FALSE),0)</f>
        <v>14.98</v>
      </c>
      <c r="O93" s="56">
        <f>IFERROR(VLOOKUP($A93,'Dietary Sample'!$A:$AM,30,FALSE)/VLOOKUP($A93,'Dietary Sample'!$A:$AM,17,FALSE),0)</f>
        <v>0.45070422535211269</v>
      </c>
      <c r="P93" s="55">
        <v>1.2086841156366601</v>
      </c>
      <c r="Q93" s="52">
        <f>IFERROR(VLOOKUP($A93,'Housekeeping Sample'!$A:$O,15,FALSE),0)</f>
        <v>18.231428571428573</v>
      </c>
      <c r="R93" s="52">
        <f>IFERROR(VLOOKUP($A93,'Housekeeping Sample'!$A:$O,14,FALSE),0)</f>
        <v>18.515000000000001</v>
      </c>
      <c r="S93" s="56">
        <f>IFERROR(VLOOKUP($A93,'Housekeeping Sample'!$A:$P,16,FALSE)/VLOOKUP($A93,'Housekeeping Sample'!$A:$P,11,FALSE),0)</f>
        <v>0.5</v>
      </c>
      <c r="T93" s="55">
        <v>0.26667293763521777</v>
      </c>
      <c r="U93" s="52">
        <f>IFERROR(VLOOKUP($A93,'Activities Sample'!$A:$M,13,FALSE),0)</f>
        <v>19.556666666666665</v>
      </c>
      <c r="V93" s="52">
        <f>IFERROR(VLOOKUP($A93,'Activities Sample'!$A:$M,12,FALSE),0)</f>
        <v>20.32</v>
      </c>
      <c r="W93" s="56">
        <f>IFERROR(VLOOKUP($A93,'Activities Sample'!$A:$O,15,FALSE)/VLOOKUP($A93,'Activities Sample'!$A:$O,9,FALSE),0)</f>
        <v>0.33333333333333331</v>
      </c>
      <c r="X93" s="55">
        <v>0.37393785470165869</v>
      </c>
    </row>
    <row r="94" spans="1:24" s="57" customFormat="1" x14ac:dyDescent="0.55000000000000004">
      <c r="A94" s="50">
        <v>657</v>
      </c>
      <c r="B94" s="51">
        <v>1</v>
      </c>
      <c r="C94" s="51" t="s">
        <v>46</v>
      </c>
      <c r="D94" s="51" t="s">
        <v>43</v>
      </c>
      <c r="E94" s="52">
        <f>IFERROR(VLOOKUP($A94,'CNA Sample'!$A:$M,13,FALSE),0)</f>
        <v>18.608148148148139</v>
      </c>
      <c r="F94" s="53">
        <f>IFERROR(VLOOKUP($A94,'CNA Sample'!$A:$M,12,FALSE),0)</f>
        <v>17.53</v>
      </c>
      <c r="G94" s="54">
        <f>IFERROR(VLOOKUP($A94,'CNA Sample'!$A:$O,15,FALSE)/VLOOKUP($A94,'CNA Sample'!$A:$O,9,FALSE),0)</f>
        <v>0.66666666666666663</v>
      </c>
      <c r="H94" s="55">
        <v>3.0550070521861779</v>
      </c>
      <c r="I94" s="52">
        <f>IFERROR(VLOOKUP($A94,'Dietary Sample'!$A:$AA,27,FALSE),0)</f>
        <v>0</v>
      </c>
      <c r="J94" s="52">
        <f>IFERROR(VLOOKUP($A94,'Dietary Sample'!$A:$AA,26,FALSE),0)</f>
        <v>0</v>
      </c>
      <c r="K94" s="54">
        <f>IFERROR(VLOOKUP($A94,'Dietary Sample'!$A:$AM,35,FALSE)/VLOOKUP($A94,'Dietary Sample'!$A:$AM,18,FALSE),0)</f>
        <v>0</v>
      </c>
      <c r="L94" s="55">
        <v>0</v>
      </c>
      <c r="M94" s="52">
        <f>IFERROR(VLOOKUP($A94,'Dietary Sample'!$A:$AA,23,FALSE),0)</f>
        <v>0</v>
      </c>
      <c r="N94" s="52">
        <f>IFERROR(VLOOKUP($A94,'Dietary Sample'!$A:$AA,22,FALSE),0)</f>
        <v>0</v>
      </c>
      <c r="O94" s="56">
        <f>IFERROR(VLOOKUP($A94,'Dietary Sample'!$A:$AM,30,FALSE)/VLOOKUP($A94,'Dietary Sample'!$A:$AM,17,FALSE),0)</f>
        <v>0</v>
      </c>
      <c r="P94" s="55">
        <v>0</v>
      </c>
      <c r="Q94" s="52">
        <f>IFERROR(VLOOKUP($A94,'Housekeeping Sample'!$A:$O,15,FALSE),0)</f>
        <v>0</v>
      </c>
      <c r="R94" s="52">
        <f>IFERROR(VLOOKUP($A94,'Housekeeping Sample'!$A:$O,14,FALSE),0)</f>
        <v>0</v>
      </c>
      <c r="S94" s="56">
        <f>IFERROR(VLOOKUP($A94,'Housekeeping Sample'!$A:$P,16,FALSE)/VLOOKUP($A94,'Housekeeping Sample'!$A:$P,11,FALSE),0)</f>
        <v>0</v>
      </c>
      <c r="T94" s="55">
        <v>0</v>
      </c>
      <c r="U94" s="52">
        <f>IFERROR(VLOOKUP($A94,'Activities Sample'!$A:$M,13,FALSE),0)</f>
        <v>18</v>
      </c>
      <c r="V94" s="52">
        <f>IFERROR(VLOOKUP($A94,'Activities Sample'!$A:$M,12,FALSE),0)</f>
        <v>17.5</v>
      </c>
      <c r="W94" s="56">
        <f>IFERROR(VLOOKUP($A94,'Activities Sample'!$A:$O,15,FALSE)/VLOOKUP($A94,'Activities Sample'!$A:$O,9,FALSE),0)</f>
        <v>0.66666666666666663</v>
      </c>
      <c r="X94" s="55">
        <v>0.38286318758815235</v>
      </c>
    </row>
    <row r="95" spans="1:24" s="57" customFormat="1" x14ac:dyDescent="0.55000000000000004">
      <c r="A95" s="50">
        <v>658</v>
      </c>
      <c r="B95" s="51">
        <v>1</v>
      </c>
      <c r="C95" s="51" t="s">
        <v>44</v>
      </c>
      <c r="D95" s="51" t="s">
        <v>38</v>
      </c>
      <c r="E95" s="52">
        <f>IFERROR(VLOOKUP($A95,'CNA Sample'!$A:$M,13,FALSE),0)</f>
        <v>16.943749999999998</v>
      </c>
      <c r="F95" s="53">
        <f>IFERROR(VLOOKUP($A95,'CNA Sample'!$A:$M,12,FALSE),0)</f>
        <v>16.740000000000002</v>
      </c>
      <c r="G95" s="54">
        <f>IFERROR(VLOOKUP($A95,'CNA Sample'!$A:$O,15,FALSE)/VLOOKUP($A95,'CNA Sample'!$A:$O,9,FALSE),0)</f>
        <v>0.6875</v>
      </c>
      <c r="H95" s="55">
        <v>2.1722736192879171</v>
      </c>
      <c r="I95" s="52">
        <f>IFERROR(VLOOKUP($A95,'Dietary Sample'!$A:$AA,27,FALSE),0)</f>
        <v>17</v>
      </c>
      <c r="J95" s="52">
        <f>IFERROR(VLOOKUP($A95,'Dietary Sample'!$A:$AA,26,FALSE),0)</f>
        <v>17</v>
      </c>
      <c r="K95" s="54">
        <f>IFERROR(VLOOKUP($A95,'Dietary Sample'!$A:$AM,35,FALSE)/VLOOKUP($A95,'Dietary Sample'!$A:$AM,18,FALSE),0)</f>
        <v>0</v>
      </c>
      <c r="L95" s="55">
        <v>0.12013308266956908</v>
      </c>
      <c r="M95" s="52">
        <f>IFERROR(VLOOKUP($A95,'Dietary Sample'!$A:$AA,23,FALSE),0)</f>
        <v>14.195000000000002</v>
      </c>
      <c r="N95" s="52">
        <f>IFERROR(VLOOKUP($A95,'Dietary Sample'!$A:$AA,22,FALSE),0)</f>
        <v>14.245000000000001</v>
      </c>
      <c r="O95" s="56">
        <f>IFERROR(VLOOKUP($A95,'Dietary Sample'!$A:$AM,30,FALSE)/VLOOKUP($A95,'Dietary Sample'!$A:$AM,17,FALSE),0)</f>
        <v>0.5</v>
      </c>
      <c r="P95" s="55">
        <v>1.9221293227131053</v>
      </c>
      <c r="Q95" s="52">
        <f>IFERROR(VLOOKUP($A95,'Housekeeping Sample'!$A:$O,15,FALSE),0)</f>
        <v>13.017499999999998</v>
      </c>
      <c r="R95" s="52">
        <f>IFERROR(VLOOKUP($A95,'Housekeeping Sample'!$A:$O,14,FALSE),0)</f>
        <v>12.955</v>
      </c>
      <c r="S95" s="56">
        <f>IFERROR(VLOOKUP($A95,'Housekeeping Sample'!$A:$P,16,FALSE)/VLOOKUP($A95,'Housekeeping Sample'!$A:$P,11,FALSE),0)</f>
        <v>0.5</v>
      </c>
      <c r="T95" s="55">
        <v>0.47596019063638911</v>
      </c>
      <c r="U95" s="52">
        <f>IFERROR(VLOOKUP($A95,'Activities Sample'!$A:$M,13,FALSE),0)</f>
        <v>14.219999999999999</v>
      </c>
      <c r="V95" s="52">
        <f>IFERROR(VLOOKUP($A95,'Activities Sample'!$A:$M,12,FALSE),0)</f>
        <v>13.904999999999999</v>
      </c>
      <c r="W95" s="56">
        <f>IFERROR(VLOOKUP($A95,'Activities Sample'!$A:$O,15,FALSE)/VLOOKUP($A95,'Activities Sample'!$A:$O,9,FALSE),0)</f>
        <v>0.5</v>
      </c>
      <c r="X95" s="55">
        <v>0.29955144379029996</v>
      </c>
    </row>
    <row r="96" spans="1:24" s="57" customFormat="1" x14ac:dyDescent="0.55000000000000004">
      <c r="A96" s="50">
        <v>690</v>
      </c>
      <c r="B96" s="58">
        <v>3</v>
      </c>
      <c r="C96" s="58" t="s">
        <v>37</v>
      </c>
      <c r="D96" s="58" t="s">
        <v>43</v>
      </c>
      <c r="E96" s="59">
        <f>IFERROR(VLOOKUP($A96,'CNA Sample'!$A:$M,13,FALSE),0)</f>
        <v>0</v>
      </c>
      <c r="F96" s="53">
        <f>IFERROR(VLOOKUP($A96,'CNA Sample'!$A:$M,12,FALSE),0)</f>
        <v>0</v>
      </c>
      <c r="G96" s="60">
        <f>IFERROR(VLOOKUP($A96,'CNA Sample'!$A:$O,15,FALSE)/VLOOKUP($A96,'CNA Sample'!$A:$O,9,FALSE),0)</f>
        <v>0</v>
      </c>
      <c r="H96" s="55">
        <v>0</v>
      </c>
      <c r="I96" s="52">
        <f>IFERROR(VLOOKUP($A96,'Dietary Sample'!$A:$AA,27,FALSE),0)</f>
        <v>19.91</v>
      </c>
      <c r="J96" s="52">
        <f>IFERROR(VLOOKUP($A96,'Dietary Sample'!$A:$AA,26,FALSE),0)</f>
        <v>19.91</v>
      </c>
      <c r="K96" s="54">
        <f>IFERROR(VLOOKUP($A96,'Dietary Sample'!$A:$AM,35,FALSE)/VLOOKUP($A96,'Dietary Sample'!$A:$AM,18,FALSE),0)</f>
        <v>0.5</v>
      </c>
      <c r="L96" s="55">
        <v>0.2589093646923849</v>
      </c>
      <c r="M96" s="52">
        <f>IFERROR(VLOOKUP($A96,'Dietary Sample'!$A:$AA,23,FALSE),0)</f>
        <v>17.855</v>
      </c>
      <c r="N96" s="52">
        <f>IFERROR(VLOOKUP($A96,'Dietary Sample'!$A:$AA,22,FALSE),0)</f>
        <v>18.375</v>
      </c>
      <c r="O96" s="56">
        <f>IFERROR(VLOOKUP($A96,'Dietary Sample'!$A:$AM,30,FALSE)/VLOOKUP($A96,'Dietary Sample'!$A:$AM,17,FALSE),0)</f>
        <v>0.5</v>
      </c>
      <c r="P96" s="55">
        <v>0.77672809407715471</v>
      </c>
      <c r="Q96" s="52">
        <f>IFERROR(VLOOKUP($A96,'Housekeeping Sample'!$A:$O,15,FALSE),0)</f>
        <v>0</v>
      </c>
      <c r="R96" s="52">
        <f>IFERROR(VLOOKUP($A96,'Housekeeping Sample'!$A:$O,14,FALSE),0)</f>
        <v>0</v>
      </c>
      <c r="S96" s="56">
        <f>IFERROR(VLOOKUP($A96,'Housekeeping Sample'!$A:$P,16,FALSE)/VLOOKUP($A96,'Housekeeping Sample'!$A:$P,11,FALSE),0)</f>
        <v>0</v>
      </c>
      <c r="T96" s="55">
        <v>0</v>
      </c>
      <c r="U96" s="52">
        <f>IFERROR(VLOOKUP($A96,'Activities Sample'!$A:$M,13,FALSE),0)</f>
        <v>0</v>
      </c>
      <c r="V96" s="52">
        <f>IFERROR(VLOOKUP($A96,'Activities Sample'!$A:$M,12,FALSE),0)</f>
        <v>0</v>
      </c>
      <c r="W96" s="56">
        <f>IFERROR(VLOOKUP($A96,'Activities Sample'!$A:$O,15,FALSE)/VLOOKUP($A96,'Activities Sample'!$A:$O,9,FALSE),0)</f>
        <v>0</v>
      </c>
      <c r="X96" s="55">
        <v>0</v>
      </c>
    </row>
    <row r="97" spans="1:24" s="57" customFormat="1" x14ac:dyDescent="0.55000000000000004">
      <c r="A97" s="50">
        <v>701</v>
      </c>
      <c r="B97" s="51">
        <v>3</v>
      </c>
      <c r="C97" s="51" t="s">
        <v>37</v>
      </c>
      <c r="D97" s="51" t="s">
        <v>45</v>
      </c>
      <c r="E97" s="52">
        <f>IFERROR(VLOOKUP($A97,'CNA Sample'!$A:$M,13,FALSE),0)</f>
        <v>20.379166666666666</v>
      </c>
      <c r="F97" s="53">
        <f>IFERROR(VLOOKUP($A97,'CNA Sample'!$A:$M,12,FALSE),0)</f>
        <v>20</v>
      </c>
      <c r="G97" s="54">
        <f>IFERROR(VLOOKUP($A97,'CNA Sample'!$A:$O,15,FALSE)/VLOOKUP($A97,'CNA Sample'!$A:$O,9,FALSE),0)</f>
        <v>0.91666666666666663</v>
      </c>
      <c r="H97" s="55">
        <v>0</v>
      </c>
      <c r="I97" s="52">
        <f>IFERROR(VLOOKUP($A97,'Dietary Sample'!$A:$AA,27,FALSE),0)</f>
        <v>17.525000000000002</v>
      </c>
      <c r="J97" s="52">
        <f>IFERROR(VLOOKUP($A97,'Dietary Sample'!$A:$AA,26,FALSE),0)</f>
        <v>17.75</v>
      </c>
      <c r="K97" s="54">
        <f>IFERROR(VLOOKUP($A97,'Dietary Sample'!$A:$AM,35,FALSE)/VLOOKUP($A97,'Dietary Sample'!$A:$AM,18,FALSE),0)</f>
        <v>0.5</v>
      </c>
      <c r="L97" s="55">
        <v>0.78794462292278167</v>
      </c>
      <c r="M97" s="52">
        <f>IFERROR(VLOOKUP($A97,'Dietary Sample'!$A:$AA,23,FALSE),0)</f>
        <v>15.35</v>
      </c>
      <c r="N97" s="52">
        <f>IFERROR(VLOOKUP($A97,'Dietary Sample'!$A:$AA,22,FALSE),0)</f>
        <v>15.35</v>
      </c>
      <c r="O97" s="56">
        <f>IFERROR(VLOOKUP($A97,'Dietary Sample'!$A:$AM,30,FALSE)/VLOOKUP($A97,'Dietary Sample'!$A:$AM,17,FALSE),0)</f>
        <v>0</v>
      </c>
      <c r="P97" s="55">
        <v>0.13132410382046361</v>
      </c>
      <c r="Q97" s="52">
        <f>IFERROR(VLOOKUP($A97,'Housekeeping Sample'!$A:$O,15,FALSE),0)</f>
        <v>18.821428571428573</v>
      </c>
      <c r="R97" s="52">
        <f>IFERROR(VLOOKUP($A97,'Housekeeping Sample'!$A:$O,14,FALSE),0)</f>
        <v>18.725000000000001</v>
      </c>
      <c r="S97" s="56">
        <f>IFERROR(VLOOKUP($A97,'Housekeeping Sample'!$A:$P,16,FALSE)/VLOOKUP($A97,'Housekeeping Sample'!$A:$P,11,FALSE),0)</f>
        <v>1</v>
      </c>
      <c r="T97" s="55">
        <v>0.67424364989483898</v>
      </c>
      <c r="U97" s="52">
        <f>IFERROR(VLOOKUP($A97,'Activities Sample'!$A:$M,13,FALSE),0)</f>
        <v>0</v>
      </c>
      <c r="V97" s="52">
        <f>IFERROR(VLOOKUP($A97,'Activities Sample'!$A:$M,12,FALSE),0)</f>
        <v>0</v>
      </c>
      <c r="W97" s="56">
        <f>IFERROR(VLOOKUP($A97,'Activities Sample'!$A:$O,15,FALSE)/VLOOKUP($A97,'Activities Sample'!$A:$O,9,FALSE),0)</f>
        <v>0</v>
      </c>
      <c r="X97" s="55">
        <v>0</v>
      </c>
    </row>
    <row r="98" spans="1:24" s="57" customFormat="1" x14ac:dyDescent="0.55000000000000004">
      <c r="A98" s="50">
        <v>712</v>
      </c>
      <c r="B98" s="58">
        <v>3</v>
      </c>
      <c r="C98" s="58" t="s">
        <v>37</v>
      </c>
      <c r="D98" s="58" t="s">
        <v>43</v>
      </c>
      <c r="E98" s="59">
        <f>IFERROR(VLOOKUP($A98,'CNA Sample'!$A:$M,13,FALSE),0)</f>
        <v>22.657804878048783</v>
      </c>
      <c r="F98" s="53">
        <f>IFERROR(VLOOKUP($A98,'CNA Sample'!$A:$M,12,FALSE),0)</f>
        <v>22.46</v>
      </c>
      <c r="G98" s="60">
        <f>IFERROR(VLOOKUP($A98,'CNA Sample'!$A:$O,15,FALSE)/VLOOKUP($A98,'CNA Sample'!$A:$O,9,FALSE),0)</f>
        <v>0.85365853658536583</v>
      </c>
      <c r="H98" s="55">
        <v>2.0830573141587356</v>
      </c>
      <c r="I98" s="52">
        <f>IFERROR(VLOOKUP($A98,'Dietary Sample'!$A:$AA,27,FALSE),0)</f>
        <v>21.705000000000002</v>
      </c>
      <c r="J98" s="52">
        <f>IFERROR(VLOOKUP($A98,'Dietary Sample'!$A:$AA,26,FALSE),0)</f>
        <v>21.990000000000002</v>
      </c>
      <c r="K98" s="54">
        <f>IFERROR(VLOOKUP($A98,'Dietary Sample'!$A:$AM,35,FALSE)/VLOOKUP($A98,'Dietary Sample'!$A:$AM,18,FALSE),0)</f>
        <v>0.5</v>
      </c>
      <c r="L98" s="55">
        <v>0.25734125000403146</v>
      </c>
      <c r="M98" s="52">
        <f>IFERROR(VLOOKUP($A98,'Dietary Sample'!$A:$AA,23,FALSE),0)</f>
        <v>17.936666666666667</v>
      </c>
      <c r="N98" s="52">
        <f>IFERROR(VLOOKUP($A98,'Dietary Sample'!$A:$AA,22,FALSE),0)</f>
        <v>16.75</v>
      </c>
      <c r="O98" s="56">
        <f>IFERROR(VLOOKUP($A98,'Dietary Sample'!$A:$AM,30,FALSE)/VLOOKUP($A98,'Dietary Sample'!$A:$AM,17,FALSE),0)</f>
        <v>0.27777777777777779</v>
      </c>
      <c r="P98" s="55">
        <v>0.5790178125090707</v>
      </c>
      <c r="Q98" s="52">
        <f>IFERROR(VLOOKUP($A98,'Housekeeping Sample'!$A:$O,15,FALSE),0)</f>
        <v>21.50333333333333</v>
      </c>
      <c r="R98" s="52">
        <f>IFERROR(VLOOKUP($A98,'Housekeeping Sample'!$A:$O,14,FALSE),0)</f>
        <v>21.36</v>
      </c>
      <c r="S98" s="56">
        <f>IFERROR(VLOOKUP($A98,'Housekeeping Sample'!$A:$P,16,FALSE)/VLOOKUP($A98,'Housekeeping Sample'!$A:$P,11,FALSE),0)</f>
        <v>0</v>
      </c>
      <c r="T98" s="55">
        <v>0.40845247578717875</v>
      </c>
      <c r="U98" s="52">
        <f>IFERROR(VLOOKUP($A98,'Activities Sample'!$A:$M,13,FALSE),0)</f>
        <v>21.36</v>
      </c>
      <c r="V98" s="52">
        <f>IFERROR(VLOOKUP($A98,'Activities Sample'!$A:$M,12,FALSE),0)</f>
        <v>21.36</v>
      </c>
      <c r="W98" s="56">
        <f>IFERROR(VLOOKUP($A98,'Activities Sample'!$A:$O,15,FALSE)/VLOOKUP($A98,'Activities Sample'!$A:$O,9,FALSE),0)</f>
        <v>0</v>
      </c>
      <c r="X98" s="55">
        <v>0.28925411932413736</v>
      </c>
    </row>
    <row r="99" spans="1:24" s="57" customFormat="1" x14ac:dyDescent="0.55000000000000004">
      <c r="A99" s="50">
        <v>718</v>
      </c>
      <c r="B99" s="51">
        <v>2</v>
      </c>
      <c r="C99" s="51" t="s">
        <v>52</v>
      </c>
      <c r="D99" s="51" t="s">
        <v>43</v>
      </c>
      <c r="E99" s="52">
        <f>IFERROR(VLOOKUP($A99,'CNA Sample'!$A:$M,13,FALSE),0)</f>
        <v>18.637551020408164</v>
      </c>
      <c r="F99" s="53">
        <f>IFERROR(VLOOKUP($A99,'CNA Sample'!$A:$M,12,FALSE),0)</f>
        <v>17.579999999999998</v>
      </c>
      <c r="G99" s="54">
        <f>IFERROR(VLOOKUP($A99,'CNA Sample'!$A:$O,15,FALSE)/VLOOKUP($A99,'CNA Sample'!$A:$O,9,FALSE),0)</f>
        <v>0.69387755102040816</v>
      </c>
      <c r="H99" s="55">
        <v>1.8113867014780813</v>
      </c>
      <c r="I99" s="52">
        <f>IFERROR(VLOOKUP($A99,'Dietary Sample'!$A:$AA,27,FALSE),0)</f>
        <v>20.599999999999998</v>
      </c>
      <c r="J99" s="52">
        <f>IFERROR(VLOOKUP($A99,'Dietary Sample'!$A:$AA,26,FALSE),0)</f>
        <v>21.86</v>
      </c>
      <c r="K99" s="54">
        <f>IFERROR(VLOOKUP($A99,'Dietary Sample'!$A:$AM,35,FALSE)/VLOOKUP($A99,'Dietary Sample'!$A:$AM,18,FALSE),0)</f>
        <v>0.33333333333333331</v>
      </c>
      <c r="L99" s="55">
        <v>0.10709247483892702</v>
      </c>
      <c r="M99" s="52">
        <f>IFERROR(VLOOKUP($A99,'Dietary Sample'!$A:$AA,23,FALSE),0)</f>
        <v>17.549999999999997</v>
      </c>
      <c r="N99" s="52">
        <f>IFERROR(VLOOKUP($A99,'Dietary Sample'!$A:$AA,22,FALSE),0)</f>
        <v>16.89</v>
      </c>
      <c r="O99" s="56">
        <f>IFERROR(VLOOKUP($A99,'Dietary Sample'!$A:$AM,30,FALSE)/VLOOKUP($A99,'Dietary Sample'!$A:$AM,17,FALSE),0)</f>
        <v>0.42857142857142855</v>
      </c>
      <c r="P99" s="55">
        <v>0.74964732387248911</v>
      </c>
      <c r="Q99" s="52">
        <f>IFERROR(VLOOKUP($A99,'Housekeeping Sample'!$A:$O,15,FALSE),0)</f>
        <v>19.049999999999997</v>
      </c>
      <c r="R99" s="52">
        <f>IFERROR(VLOOKUP($A99,'Housekeeping Sample'!$A:$O,14,FALSE),0)</f>
        <v>18.920000000000002</v>
      </c>
      <c r="S99" s="56">
        <f>IFERROR(VLOOKUP($A99,'Housekeeping Sample'!$A:$P,16,FALSE)/VLOOKUP($A99,'Housekeeping Sample'!$A:$P,11,FALSE),0)</f>
        <v>0.33333333333333331</v>
      </c>
      <c r="T99" s="55">
        <v>0.3239145997389144</v>
      </c>
      <c r="U99" s="52">
        <f>IFERROR(VLOOKUP($A99,'Activities Sample'!$A:$M,13,FALSE),0)</f>
        <v>19.991428571428571</v>
      </c>
      <c r="V99" s="52">
        <f>IFERROR(VLOOKUP($A99,'Activities Sample'!$A:$M,12,FALSE),0)</f>
        <v>20.77</v>
      </c>
      <c r="W99" s="56">
        <f>IFERROR(VLOOKUP($A99,'Activities Sample'!$A:$O,15,FALSE)/VLOOKUP($A99,'Activities Sample'!$A:$O,9,FALSE),0)</f>
        <v>0.42857142857142855</v>
      </c>
      <c r="X99" s="55">
        <v>0.43277045521539564</v>
      </c>
    </row>
    <row r="100" spans="1:24" s="57" customFormat="1" x14ac:dyDescent="0.55000000000000004">
      <c r="A100" s="50">
        <v>719</v>
      </c>
      <c r="B100" s="51">
        <v>2</v>
      </c>
      <c r="C100" s="51" t="s">
        <v>47</v>
      </c>
      <c r="D100" s="51" t="s">
        <v>43</v>
      </c>
      <c r="E100" s="52">
        <f>IFERROR(VLOOKUP($A100,'CNA Sample'!$A:$M,13,FALSE),0)</f>
        <v>20.297333333333334</v>
      </c>
      <c r="F100" s="53">
        <f>IFERROR(VLOOKUP($A100,'CNA Sample'!$A:$M,12,FALSE),0)</f>
        <v>21.03</v>
      </c>
      <c r="G100" s="54">
        <f>IFERROR(VLOOKUP($A100,'CNA Sample'!$A:$O,15,FALSE)/VLOOKUP($A100,'CNA Sample'!$A:$O,9,FALSE),0)</f>
        <v>0.46666666666666667</v>
      </c>
      <c r="H100" s="55">
        <v>2.1753988397389414</v>
      </c>
      <c r="I100" s="52">
        <f>IFERROR(VLOOKUP($A100,'Dietary Sample'!$A:$AA,27,FALSE),0)</f>
        <v>0</v>
      </c>
      <c r="J100" s="52">
        <f>IFERROR(VLOOKUP($A100,'Dietary Sample'!$A:$AA,26,FALSE),0)</f>
        <v>0</v>
      </c>
      <c r="K100" s="54">
        <f>IFERROR(VLOOKUP($A100,'Dietary Sample'!$A:$AM,35,FALSE)/VLOOKUP($A100,'Dietary Sample'!$A:$AM,18,FALSE),0)</f>
        <v>0</v>
      </c>
      <c r="L100" s="55">
        <v>0</v>
      </c>
      <c r="M100" s="52">
        <f>IFERROR(VLOOKUP($A100,'Dietary Sample'!$A:$AA,23,FALSE),0)</f>
        <v>0</v>
      </c>
      <c r="N100" s="52">
        <f>IFERROR(VLOOKUP($A100,'Dietary Sample'!$A:$AA,22,FALSE),0)</f>
        <v>0</v>
      </c>
      <c r="O100" s="56">
        <f>IFERROR(VLOOKUP($A100,'Dietary Sample'!$A:$AM,30,FALSE)/VLOOKUP($A100,'Dietary Sample'!$A:$AM,17,FALSE),0)</f>
        <v>0</v>
      </c>
      <c r="P100" s="55">
        <v>0</v>
      </c>
      <c r="Q100" s="52">
        <f>IFERROR(VLOOKUP($A100,'Housekeeping Sample'!$A:$O,15,FALSE),0)</f>
        <v>18.99909090909091</v>
      </c>
      <c r="R100" s="52">
        <f>IFERROR(VLOOKUP($A100,'Housekeeping Sample'!$A:$O,14,FALSE),0)</f>
        <v>19.09</v>
      </c>
      <c r="S100" s="56">
        <f>IFERROR(VLOOKUP($A100,'Housekeeping Sample'!$A:$P,16,FALSE)/VLOOKUP($A100,'Housekeeping Sample'!$A:$P,11,FALSE),0)</f>
        <v>0.36363636363636365</v>
      </c>
      <c r="T100" s="55">
        <v>0.45993473531544599</v>
      </c>
      <c r="U100" s="52">
        <f>IFERROR(VLOOKUP($A100,'Activities Sample'!$A:$M,13,FALSE),0)</f>
        <v>0</v>
      </c>
      <c r="V100" s="52">
        <f>IFERROR(VLOOKUP($A100,'Activities Sample'!$A:$M,12,FALSE),0)</f>
        <v>0</v>
      </c>
      <c r="W100" s="56">
        <f>IFERROR(VLOOKUP($A100,'Activities Sample'!$A:$O,15,FALSE)/VLOOKUP($A100,'Activities Sample'!$A:$O,9,FALSE),0)</f>
        <v>0</v>
      </c>
      <c r="X100" s="55">
        <v>0</v>
      </c>
    </row>
    <row r="101" spans="1:24" s="57" customFormat="1" x14ac:dyDescent="0.55000000000000004">
      <c r="A101" s="50">
        <v>726</v>
      </c>
      <c r="B101" s="51">
        <v>3</v>
      </c>
      <c r="C101" s="51" t="s">
        <v>47</v>
      </c>
      <c r="D101" s="51" t="s">
        <v>45</v>
      </c>
      <c r="E101" s="52">
        <f>IFERROR(VLOOKUP($A101,'CNA Sample'!$A:$M,13,FALSE),0)</f>
        <v>20.142631578947373</v>
      </c>
      <c r="F101" s="53">
        <f>IFERROR(VLOOKUP($A101,'CNA Sample'!$A:$M,12,FALSE),0)</f>
        <v>20.74</v>
      </c>
      <c r="G101" s="54">
        <f>IFERROR(VLOOKUP($A101,'CNA Sample'!$A:$O,15,FALSE)/VLOOKUP($A101,'CNA Sample'!$A:$O,9,FALSE),0)</f>
        <v>0.42105263157894735</v>
      </c>
      <c r="H101" s="55">
        <v>1.6411214150781384</v>
      </c>
      <c r="I101" s="52">
        <f>IFERROR(VLOOKUP($A101,'Dietary Sample'!$A:$AA,27,FALSE),0)</f>
        <v>18.353333333333335</v>
      </c>
      <c r="J101" s="52">
        <f>IFERROR(VLOOKUP($A101,'Dietary Sample'!$A:$AA,26,FALSE),0)</f>
        <v>18.329999999999998</v>
      </c>
      <c r="K101" s="54">
        <f>IFERROR(VLOOKUP($A101,'Dietary Sample'!$A:$AM,35,FALSE)/VLOOKUP($A101,'Dietary Sample'!$A:$AM,18,FALSE),0)</f>
        <v>0.33333333333333331</v>
      </c>
      <c r="L101" s="55">
        <v>0.3935857805255023</v>
      </c>
      <c r="M101" s="52">
        <f>IFERROR(VLOOKUP($A101,'Dietary Sample'!$A:$AA,23,FALSE),0)</f>
        <v>15.315000000000001</v>
      </c>
      <c r="N101" s="52">
        <f>IFERROR(VLOOKUP($A101,'Dietary Sample'!$A:$AA,22,FALSE),0)</f>
        <v>15.315000000000001</v>
      </c>
      <c r="O101" s="56">
        <f>IFERROR(VLOOKUP($A101,'Dietary Sample'!$A:$AM,30,FALSE)/VLOOKUP($A101,'Dietary Sample'!$A:$AM,17,FALSE),0)</f>
        <v>0.5</v>
      </c>
      <c r="P101" s="55">
        <v>0.26239052035033489</v>
      </c>
      <c r="Q101" s="52">
        <f>IFERROR(VLOOKUP($A101,'Housekeeping Sample'!$A:$O,15,FALSE),0)</f>
        <v>0</v>
      </c>
      <c r="R101" s="52">
        <f>IFERROR(VLOOKUP($A101,'Housekeeping Sample'!$A:$O,14,FALSE),0)</f>
        <v>0</v>
      </c>
      <c r="S101" s="56">
        <f>IFERROR(VLOOKUP($A101,'Housekeeping Sample'!$A:$P,16,FALSE)/VLOOKUP($A101,'Housekeeping Sample'!$A:$P,11,FALSE),0)</f>
        <v>0</v>
      </c>
      <c r="T101" s="55">
        <v>0</v>
      </c>
      <c r="U101" s="52">
        <f>IFERROR(VLOOKUP($A101,'Activities Sample'!$A:$M,13,FALSE),0)</f>
        <v>16.670000000000002</v>
      </c>
      <c r="V101" s="52">
        <f>IFERROR(VLOOKUP($A101,'Activities Sample'!$A:$M,12,FALSE),0)</f>
        <v>16.670000000000002</v>
      </c>
      <c r="W101" s="56">
        <f>IFERROR(VLOOKUP($A101,'Activities Sample'!$A:$O,15,FALSE)/VLOOKUP($A101,'Activities Sample'!$A:$O,9,FALSE),0)</f>
        <v>0.5</v>
      </c>
      <c r="X101" s="55">
        <v>0.2063369397217929</v>
      </c>
    </row>
    <row r="102" spans="1:24" s="57" customFormat="1" x14ac:dyDescent="0.55000000000000004">
      <c r="A102" s="50">
        <v>728</v>
      </c>
      <c r="B102" s="51">
        <v>3</v>
      </c>
      <c r="C102" s="51" t="s">
        <v>47</v>
      </c>
      <c r="D102" s="51" t="s">
        <v>40</v>
      </c>
      <c r="E102" s="52">
        <f>IFERROR(VLOOKUP($A102,'CNA Sample'!$A:$M,13,FALSE),0)</f>
        <v>21.58</v>
      </c>
      <c r="F102" s="52">
        <f>IFERROR(VLOOKUP($A102,'CNA Sample'!$A:$M,12,FALSE),0)</f>
        <v>22</v>
      </c>
      <c r="G102" s="54">
        <f>IFERROR(VLOOKUP($A102,'CNA Sample'!$A:$O,15,FALSE)/VLOOKUP($A102,'CNA Sample'!$A:$O,9,FALSE),0)</f>
        <v>0.33333333333333331</v>
      </c>
      <c r="H102" s="55">
        <v>2.3760300176574454</v>
      </c>
      <c r="I102" s="52">
        <f>IFERROR(VLOOKUP($A102,'Dietary Sample'!$A:$AA,27,FALSE),0)</f>
        <v>19.2775</v>
      </c>
      <c r="J102" s="52">
        <f>IFERROR(VLOOKUP($A102,'Dietary Sample'!$A:$AA,26,FALSE),0)</f>
        <v>19.329999999999998</v>
      </c>
      <c r="K102" s="54">
        <f>IFERROR(VLOOKUP($A102,'Dietary Sample'!$A:$AM,35,FALSE)/VLOOKUP($A102,'Dietary Sample'!$A:$AM,18,FALSE),0)</f>
        <v>0.5</v>
      </c>
      <c r="L102" s="55">
        <v>0.53262948793407883</v>
      </c>
      <c r="M102" s="52">
        <f>IFERROR(VLOOKUP($A102,'Dietary Sample'!$A:$AA,23,FALSE),0)</f>
        <v>15.05</v>
      </c>
      <c r="N102" s="52">
        <f>IFERROR(VLOOKUP($A102,'Dietary Sample'!$A:$AA,22,FALSE),0)</f>
        <v>15.055</v>
      </c>
      <c r="O102" s="54">
        <f>IFERROR(VLOOKUP($A102,'Dietary Sample'!$A:$AM,30,FALSE)/VLOOKUP($A102,'Dietary Sample'!$A:$AM,17,FALSE),0)</f>
        <v>0.5</v>
      </c>
      <c r="P102" s="55">
        <v>0.53262948793407883</v>
      </c>
      <c r="Q102" s="52">
        <f>IFERROR(VLOOKUP($A102,'Housekeeping Sample'!$A:$O,15,FALSE),0)</f>
        <v>16.39</v>
      </c>
      <c r="R102" s="52">
        <f>IFERROR(VLOOKUP($A102,'Housekeeping Sample'!$A:$O,14,FALSE),0)</f>
        <v>16.39</v>
      </c>
      <c r="S102" s="54">
        <f>IFERROR(VLOOKUP($A102,'Housekeeping Sample'!$A:$P,16,FALSE)/VLOOKUP($A102,'Housekeeping Sample'!$A:$P,11,FALSE),0)</f>
        <v>0.5</v>
      </c>
      <c r="T102" s="55">
        <v>0.74036197763390232</v>
      </c>
      <c r="U102" s="52">
        <f>IFERROR(VLOOKUP($A102,'Activities Sample'!$A:$M,13,FALSE),0)</f>
        <v>15.06</v>
      </c>
      <c r="V102" s="52">
        <f>IFERROR(VLOOKUP($A102,'Activities Sample'!$A:$M,12,FALSE),0)</f>
        <v>15.06</v>
      </c>
      <c r="W102" s="54">
        <f>IFERROR(VLOOKUP($A102,'Activities Sample'!$A:$O,15,FALSE)/VLOOKUP($A102,'Activities Sample'!$A:$O,9,FALSE),0)</f>
        <v>0</v>
      </c>
      <c r="X102" s="55">
        <v>0.36455267804590935</v>
      </c>
    </row>
    <row r="103" spans="1:24" s="57" customFormat="1" x14ac:dyDescent="0.55000000000000004">
      <c r="A103" s="50">
        <v>738</v>
      </c>
      <c r="B103" s="51">
        <v>2</v>
      </c>
      <c r="C103" s="51" t="s">
        <v>51</v>
      </c>
      <c r="D103" s="51" t="s">
        <v>45</v>
      </c>
      <c r="E103" s="52">
        <f>IFERROR(VLOOKUP($A103,'CNA Sample'!$A:$M,13,FALSE),0)</f>
        <v>19.471538461538461</v>
      </c>
      <c r="F103" s="53">
        <f>IFERROR(VLOOKUP($A103,'CNA Sample'!$A:$M,12,FALSE),0)</f>
        <v>19.11</v>
      </c>
      <c r="G103" s="54">
        <f>IFERROR(VLOOKUP($A103,'CNA Sample'!$A:$O,15,FALSE)/VLOOKUP($A103,'CNA Sample'!$A:$O,9,FALSE),0)</f>
        <v>0.53846153846153844</v>
      </c>
      <c r="H103" s="55">
        <v>2.3243640474844547</v>
      </c>
      <c r="I103" s="52">
        <f>IFERROR(VLOOKUP($A103,'Dietary Sample'!$A:$AA,27,FALSE),0)</f>
        <v>15.494999999999999</v>
      </c>
      <c r="J103" s="52">
        <f>IFERROR(VLOOKUP($A103,'Dietary Sample'!$A:$AA,26,FALSE),0)</f>
        <v>15.45</v>
      </c>
      <c r="K103" s="54">
        <f>IFERROR(VLOOKUP($A103,'Dietary Sample'!$A:$AM,35,FALSE)/VLOOKUP($A103,'Dietary Sample'!$A:$AM,18,FALSE),0)</f>
        <v>0.25</v>
      </c>
      <c r="L103" s="55">
        <v>0.39069443840500939</v>
      </c>
      <c r="M103" s="52">
        <f>IFERROR(VLOOKUP($A103,'Dietary Sample'!$A:$AA,23,FALSE),0)</f>
        <v>13.574444444444445</v>
      </c>
      <c r="N103" s="52">
        <f>IFERROR(VLOOKUP($A103,'Dietary Sample'!$A:$AA,22,FALSE),0)</f>
        <v>13.13</v>
      </c>
      <c r="O103" s="56">
        <f>IFERROR(VLOOKUP($A103,'Dietary Sample'!$A:$AM,30,FALSE)/VLOOKUP($A103,'Dietary Sample'!$A:$AM,17,FALSE),0)</f>
        <v>0.44444444444444442</v>
      </c>
      <c r="P103" s="55">
        <v>0.87906248641127105</v>
      </c>
      <c r="Q103" s="52">
        <f>IFERROR(VLOOKUP($A103,'Housekeeping Sample'!$A:$O,15,FALSE),0)</f>
        <v>14.504999999999999</v>
      </c>
      <c r="R103" s="52">
        <f>IFERROR(VLOOKUP($A103,'Housekeeping Sample'!$A:$O,14,FALSE),0)</f>
        <v>14.504999999999999</v>
      </c>
      <c r="S103" s="56">
        <f>IFERROR(VLOOKUP($A103,'Housekeeping Sample'!$A:$P,16,FALSE)/VLOOKUP($A103,'Housekeeping Sample'!$A:$P,11,FALSE),0)</f>
        <v>0.5</v>
      </c>
      <c r="T103" s="55">
        <v>0.38518937252685131</v>
      </c>
      <c r="U103" s="52">
        <f>IFERROR(VLOOKUP($A103,'Activities Sample'!$A:$M,13,FALSE),0)</f>
        <v>13</v>
      </c>
      <c r="V103" s="52">
        <f>IFERROR(VLOOKUP($A103,'Activities Sample'!$A:$M,12,FALSE),0)</f>
        <v>13</v>
      </c>
      <c r="W103" s="56">
        <f>IFERROR(VLOOKUP($A103,'Activities Sample'!$A:$O,15,FALSE)/VLOOKUP($A103,'Activities Sample'!$A:$O,9,FALSE),0)</f>
        <v>0</v>
      </c>
      <c r="X103" s="55">
        <v>0.42159412097230076</v>
      </c>
    </row>
    <row r="104" spans="1:24" s="57" customFormat="1" x14ac:dyDescent="0.55000000000000004">
      <c r="A104" s="50">
        <v>740</v>
      </c>
      <c r="B104" s="51">
        <v>2</v>
      </c>
      <c r="C104" s="51" t="s">
        <v>42</v>
      </c>
      <c r="D104" s="51" t="s">
        <v>43</v>
      </c>
      <c r="E104" s="52">
        <f>IFERROR(VLOOKUP($A104,'CNA Sample'!$A:$M,13,FALSE),0)</f>
        <v>0</v>
      </c>
      <c r="F104" s="53">
        <f>IFERROR(VLOOKUP($A104,'CNA Sample'!$A:$M,12,FALSE),0)</f>
        <v>0</v>
      </c>
      <c r="G104" s="54">
        <f>IFERROR(VLOOKUP($A104,'CNA Sample'!$A:$O,15,FALSE)/VLOOKUP($A104,'CNA Sample'!$A:$O,9,FALSE),0)</f>
        <v>0</v>
      </c>
      <c r="H104" s="55">
        <v>0</v>
      </c>
      <c r="I104" s="52">
        <f>IFERROR(VLOOKUP($A104,'Dietary Sample'!$A:$AA,27,FALSE),0)</f>
        <v>0</v>
      </c>
      <c r="J104" s="52">
        <f>IFERROR(VLOOKUP($A104,'Dietary Sample'!$A:$AA,26,FALSE),0)</f>
        <v>0</v>
      </c>
      <c r="K104" s="54">
        <f>IFERROR(VLOOKUP($A104,'Dietary Sample'!$A:$AM,35,FALSE)/VLOOKUP($A104,'Dietary Sample'!$A:$AM,18,FALSE),0)</f>
        <v>0</v>
      </c>
      <c r="L104" s="55">
        <v>0</v>
      </c>
      <c r="M104" s="52">
        <f>IFERROR(VLOOKUP($A104,'Dietary Sample'!$A:$AA,23,FALSE),0)</f>
        <v>0</v>
      </c>
      <c r="N104" s="52">
        <f>IFERROR(VLOOKUP($A104,'Dietary Sample'!$A:$AA,22,FALSE),0)</f>
        <v>0</v>
      </c>
      <c r="O104" s="56">
        <f>IFERROR(VLOOKUP($A104,'Dietary Sample'!$A:$AM,30,FALSE)/VLOOKUP($A104,'Dietary Sample'!$A:$AM,17,FALSE),0)</f>
        <v>0</v>
      </c>
      <c r="P104" s="55">
        <v>0</v>
      </c>
      <c r="Q104" s="52">
        <f>IFERROR(VLOOKUP($A104,'Housekeeping Sample'!$A:$O,15,FALSE),0)</f>
        <v>15.417999999999997</v>
      </c>
      <c r="R104" s="52">
        <f>IFERROR(VLOOKUP($A104,'Housekeeping Sample'!$A:$O,14,FALSE),0)</f>
        <v>15</v>
      </c>
      <c r="S104" s="56">
        <f>IFERROR(VLOOKUP($A104,'Housekeeping Sample'!$A:$P,16,FALSE)/VLOOKUP($A104,'Housekeeping Sample'!$A:$P,11,FALSE),0)</f>
        <v>0.4</v>
      </c>
      <c r="T104" s="55">
        <v>0</v>
      </c>
      <c r="U104" s="52">
        <f>IFERROR(VLOOKUP($A104,'Activities Sample'!$A:$M,13,FALSE),0)</f>
        <v>12.99888888888889</v>
      </c>
      <c r="V104" s="52">
        <f>IFERROR(VLOOKUP($A104,'Activities Sample'!$A:$M,12,FALSE),0)</f>
        <v>12</v>
      </c>
      <c r="W104" s="56">
        <f>IFERROR(VLOOKUP($A104,'Activities Sample'!$A:$O,15,FALSE)/VLOOKUP($A104,'Activities Sample'!$A:$O,9,FALSE),0)</f>
        <v>0.55555555555555558</v>
      </c>
      <c r="X104" s="55">
        <v>0.69132310303373168</v>
      </c>
    </row>
    <row r="105" spans="1:24" s="57" customFormat="1" x14ac:dyDescent="0.55000000000000004">
      <c r="A105" s="50">
        <v>752</v>
      </c>
      <c r="B105" s="51">
        <v>3</v>
      </c>
      <c r="C105" s="51" t="s">
        <v>37</v>
      </c>
      <c r="D105" s="51" t="s">
        <v>40</v>
      </c>
      <c r="E105" s="52">
        <f>IFERROR(VLOOKUP($A105,'CNA Sample'!$A:$M,13,FALSE),0)</f>
        <v>24.0778125</v>
      </c>
      <c r="F105" s="53">
        <f>IFERROR(VLOOKUP($A105,'CNA Sample'!$A:$M,12,FALSE),0)</f>
        <v>22.895</v>
      </c>
      <c r="G105" s="54">
        <f>IFERROR(VLOOKUP($A105,'CNA Sample'!$A:$O,15,FALSE)/VLOOKUP($A105,'CNA Sample'!$A:$O,9,FALSE),0)</f>
        <v>0.59375</v>
      </c>
      <c r="H105" s="55">
        <v>2.0955620074657819</v>
      </c>
      <c r="I105" s="52">
        <f>IFERROR(VLOOKUP($A105,'Dietary Sample'!$A:$AA,27,FALSE),0)</f>
        <v>0</v>
      </c>
      <c r="J105" s="52">
        <f>IFERROR(VLOOKUP($A105,'Dietary Sample'!$A:$AA,26,FALSE),0)</f>
        <v>0</v>
      </c>
      <c r="K105" s="54">
        <f>IFERROR(VLOOKUP($A105,'Dietary Sample'!$A:$AM,35,FALSE)/VLOOKUP($A105,'Dietary Sample'!$A:$AM,18,FALSE),0)</f>
        <v>0</v>
      </c>
      <c r="L105" s="55">
        <v>0</v>
      </c>
      <c r="M105" s="52">
        <f>IFERROR(VLOOKUP($A105,'Dietary Sample'!$A:$AA,23,FALSE),0)</f>
        <v>0</v>
      </c>
      <c r="N105" s="52">
        <f>IFERROR(VLOOKUP($A105,'Dietary Sample'!$A:$AA,22,FALSE),0)</f>
        <v>0</v>
      </c>
      <c r="O105" s="56">
        <f>IFERROR(VLOOKUP($A105,'Dietary Sample'!$A:$AM,30,FALSE)/VLOOKUP($A105,'Dietary Sample'!$A:$AM,17,FALSE),0)</f>
        <v>0</v>
      </c>
      <c r="P105" s="55">
        <v>0</v>
      </c>
      <c r="Q105" s="52">
        <f>IFERROR(VLOOKUP($A105,'Housekeeping Sample'!$A:$O,15,FALSE),0)</f>
        <v>18.700000000000003</v>
      </c>
      <c r="R105" s="52">
        <f>IFERROR(VLOOKUP($A105,'Housekeeping Sample'!$A:$O,14,FALSE),0)</f>
        <v>18.700000000000003</v>
      </c>
      <c r="S105" s="56">
        <f>IFERROR(VLOOKUP($A105,'Housekeeping Sample'!$A:$P,16,FALSE)/VLOOKUP($A105,'Housekeeping Sample'!$A:$P,11,FALSE),0)</f>
        <v>0.5</v>
      </c>
      <c r="T105" s="55">
        <v>0.56402599198119729</v>
      </c>
      <c r="U105" s="52">
        <f>IFERROR(VLOOKUP($A105,'Activities Sample'!$A:$M,13,FALSE),0)</f>
        <v>0</v>
      </c>
      <c r="V105" s="52">
        <f>IFERROR(VLOOKUP($A105,'Activities Sample'!$A:$M,12,FALSE),0)</f>
        <v>0</v>
      </c>
      <c r="W105" s="56">
        <f>IFERROR(VLOOKUP($A105,'Activities Sample'!$A:$O,15,FALSE)/VLOOKUP($A105,'Activities Sample'!$A:$O,9,FALSE),0)</f>
        <v>0</v>
      </c>
      <c r="X105" s="55">
        <v>0</v>
      </c>
    </row>
    <row r="106" spans="1:24" s="57" customFormat="1" x14ac:dyDescent="0.55000000000000004">
      <c r="A106" s="50">
        <v>756</v>
      </c>
      <c r="B106" s="51">
        <v>2</v>
      </c>
      <c r="C106" s="51" t="s">
        <v>51</v>
      </c>
      <c r="D106" s="51" t="s">
        <v>38</v>
      </c>
      <c r="E106" s="52">
        <f>IFERROR(VLOOKUP($A106,'CNA Sample'!$A:$M,13,FALSE),0)</f>
        <v>20.954545454545453</v>
      </c>
      <c r="F106" s="53">
        <f>IFERROR(VLOOKUP($A106,'CNA Sample'!$A:$M,12,FALSE),0)</f>
        <v>20.58</v>
      </c>
      <c r="G106" s="54">
        <f>IFERROR(VLOOKUP($A106,'CNA Sample'!$A:$O,15,FALSE)/VLOOKUP($A106,'CNA Sample'!$A:$O,9,FALSE),0)</f>
        <v>0.63636363636363635</v>
      </c>
      <c r="H106" s="55">
        <v>2.857736371647992</v>
      </c>
      <c r="I106" s="52">
        <f>IFERROR(VLOOKUP($A106,'Dietary Sample'!$A:$AA,27,FALSE),0)</f>
        <v>19.202500000000001</v>
      </c>
      <c r="J106" s="52">
        <f>IFERROR(VLOOKUP($A106,'Dietary Sample'!$A:$AA,26,FALSE),0)</f>
        <v>19.190000000000001</v>
      </c>
      <c r="K106" s="54">
        <f>IFERROR(VLOOKUP($A106,'Dietary Sample'!$A:$AM,35,FALSE)/VLOOKUP($A106,'Dietary Sample'!$A:$AM,18,FALSE),0)</f>
        <v>0.25</v>
      </c>
      <c r="L106" s="55">
        <v>0.38282764698476646</v>
      </c>
      <c r="M106" s="52">
        <f>IFERROR(VLOOKUP($A106,'Dietary Sample'!$A:$AA,23,FALSE),0)</f>
        <v>15.441666666666668</v>
      </c>
      <c r="N106" s="52">
        <f>IFERROR(VLOOKUP($A106,'Dietary Sample'!$A:$AA,22,FALSE),0)</f>
        <v>15.18</v>
      </c>
      <c r="O106" s="56">
        <f>IFERROR(VLOOKUP($A106,'Dietary Sample'!$A:$AM,30,FALSE)/VLOOKUP($A106,'Dietary Sample'!$A:$AM,17,FALSE),0)</f>
        <v>0.5</v>
      </c>
      <c r="P106" s="55">
        <v>0.57424147047714968</v>
      </c>
      <c r="Q106" s="52">
        <f>IFERROR(VLOOKUP($A106,'Housekeeping Sample'!$A:$O,15,FALSE),0)</f>
        <v>0</v>
      </c>
      <c r="R106" s="52">
        <f>IFERROR(VLOOKUP($A106,'Housekeeping Sample'!$A:$O,14,FALSE),0)</f>
        <v>0</v>
      </c>
      <c r="S106" s="56">
        <f>IFERROR(VLOOKUP($A106,'Housekeeping Sample'!$A:$P,16,FALSE)/VLOOKUP($A106,'Housekeeping Sample'!$A:$P,11,FALSE),0)</f>
        <v>0</v>
      </c>
      <c r="T106" s="55">
        <v>0</v>
      </c>
      <c r="U106" s="52">
        <f>IFERROR(VLOOKUP($A106,'Activities Sample'!$A:$M,13,FALSE),0)</f>
        <v>17</v>
      </c>
      <c r="V106" s="52">
        <f>IFERROR(VLOOKUP($A106,'Activities Sample'!$A:$M,12,FALSE),0)</f>
        <v>17</v>
      </c>
      <c r="W106" s="56">
        <f>IFERROR(VLOOKUP($A106,'Activities Sample'!$A:$O,15,FALSE)/VLOOKUP($A106,'Activities Sample'!$A:$O,9,FALSE),0)</f>
        <v>0</v>
      </c>
      <c r="X106" s="55">
        <v>0.30970665995215912</v>
      </c>
    </row>
    <row r="107" spans="1:24" s="57" customFormat="1" x14ac:dyDescent="0.55000000000000004">
      <c r="A107" s="50">
        <v>766</v>
      </c>
      <c r="B107" s="51">
        <v>2</v>
      </c>
      <c r="C107" s="51" t="s">
        <v>47</v>
      </c>
      <c r="D107" s="51" t="s">
        <v>43</v>
      </c>
      <c r="E107" s="52">
        <f>IFERROR(VLOOKUP($A107,'CNA Sample'!$A:$M,13,FALSE),0)</f>
        <v>21.502499999999998</v>
      </c>
      <c r="F107" s="53">
        <f>IFERROR(VLOOKUP($A107,'CNA Sample'!$A:$M,12,FALSE),0)</f>
        <v>20.984999999999999</v>
      </c>
      <c r="G107" s="54">
        <f>IFERROR(VLOOKUP($A107,'CNA Sample'!$A:$O,15,FALSE)/VLOOKUP($A107,'CNA Sample'!$A:$O,9,FALSE),0)</f>
        <v>0.58333333333333337</v>
      </c>
      <c r="H107" s="55">
        <v>2.2604805725971371</v>
      </c>
      <c r="I107" s="52">
        <f>IFERROR(VLOOKUP($A107,'Dietary Sample'!$A:$AA,27,FALSE),0)</f>
        <v>20.375714285714285</v>
      </c>
      <c r="J107" s="52">
        <f>IFERROR(VLOOKUP($A107,'Dietary Sample'!$A:$AA,26,FALSE),0)</f>
        <v>19.68</v>
      </c>
      <c r="K107" s="54">
        <f>IFERROR(VLOOKUP($A107,'Dietary Sample'!$A:$AM,35,FALSE)/VLOOKUP($A107,'Dietary Sample'!$A:$AM,18,FALSE),0)</f>
        <v>0.2857142857142857</v>
      </c>
      <c r="L107" s="55">
        <v>1.2345773687798227</v>
      </c>
      <c r="M107" s="52">
        <f>IFERROR(VLOOKUP($A107,'Dietary Sample'!$A:$AA,23,FALSE),0)</f>
        <v>0</v>
      </c>
      <c r="N107" s="52">
        <f>IFERROR(VLOOKUP($A107,'Dietary Sample'!$A:$AA,22,FALSE),0)</f>
        <v>0</v>
      </c>
      <c r="O107" s="56">
        <f>IFERROR(VLOOKUP($A107,'Dietary Sample'!$A:$AM,30,FALSE)/VLOOKUP($A107,'Dietary Sample'!$A:$AM,17,FALSE),0)</f>
        <v>0</v>
      </c>
      <c r="P107" s="55">
        <v>0</v>
      </c>
      <c r="Q107" s="52">
        <f>IFERROR(VLOOKUP($A107,'Housekeeping Sample'!$A:$O,15,FALSE),0)</f>
        <v>18.71</v>
      </c>
      <c r="R107" s="52">
        <f>IFERROR(VLOOKUP($A107,'Housekeeping Sample'!$A:$O,14,FALSE),0)</f>
        <v>18.489999999999998</v>
      </c>
      <c r="S107" s="56">
        <f>IFERROR(VLOOKUP($A107,'Housekeeping Sample'!$A:$P,16,FALSE)/VLOOKUP($A107,'Housekeeping Sample'!$A:$P,11,FALSE),0)</f>
        <v>0.5</v>
      </c>
      <c r="T107" s="55">
        <v>0.6038684389911384</v>
      </c>
      <c r="U107" s="52">
        <f>IFERROR(VLOOKUP($A107,'Activities Sample'!$A:$M,13,FALSE),0)</f>
        <v>17.577500000000001</v>
      </c>
      <c r="V107" s="52">
        <f>IFERROR(VLOOKUP($A107,'Activities Sample'!$A:$M,12,FALSE),0)</f>
        <v>17.225000000000001</v>
      </c>
      <c r="W107" s="56">
        <f>IFERROR(VLOOKUP($A107,'Activities Sample'!$A:$O,15,FALSE)/VLOOKUP($A107,'Activities Sample'!$A:$O,9,FALSE),0)</f>
        <v>0.5</v>
      </c>
      <c r="X107" s="55">
        <v>0.3692058623040218</v>
      </c>
    </row>
    <row r="108" spans="1:24" s="57" customFormat="1" x14ac:dyDescent="0.55000000000000004">
      <c r="A108" s="50">
        <v>771</v>
      </c>
      <c r="B108" s="51">
        <v>2</v>
      </c>
      <c r="C108" s="51" t="s">
        <v>39</v>
      </c>
      <c r="D108" s="51" t="s">
        <v>43</v>
      </c>
      <c r="E108" s="52">
        <f>IFERROR(VLOOKUP($A108,'CNA Sample'!$A:$M,13,FALSE),0)</f>
        <v>20.54</v>
      </c>
      <c r="F108" s="53">
        <f>IFERROR(VLOOKUP($A108,'CNA Sample'!$A:$M,12,FALSE),0)</f>
        <v>20.43</v>
      </c>
      <c r="G108" s="54">
        <f>IFERROR(VLOOKUP($A108,'CNA Sample'!$A:$O,15,FALSE)/VLOOKUP($A108,'CNA Sample'!$A:$O,9,FALSE),0)</f>
        <v>0.60869565217391308</v>
      </c>
      <c r="H108" s="55">
        <v>2.6387685934852194</v>
      </c>
      <c r="I108" s="52">
        <f>IFERROR(VLOOKUP($A108,'Dietary Sample'!$A:$AA,27,FALSE),0)</f>
        <v>18.176666666666666</v>
      </c>
      <c r="J108" s="52">
        <f>IFERROR(VLOOKUP($A108,'Dietary Sample'!$A:$AA,26,FALSE),0)</f>
        <v>18.510000000000002</v>
      </c>
      <c r="K108" s="54">
        <f>IFERROR(VLOOKUP($A108,'Dietary Sample'!$A:$AM,35,FALSE)/VLOOKUP($A108,'Dietary Sample'!$A:$AM,18,FALSE),0)</f>
        <v>0.33333333333333331</v>
      </c>
      <c r="L108" s="55">
        <v>0.42521810079708777</v>
      </c>
      <c r="M108" s="52">
        <f>IFERROR(VLOOKUP($A108,'Dietary Sample'!$A:$AA,23,FALSE),0)</f>
        <v>15.97</v>
      </c>
      <c r="N108" s="52">
        <f>IFERROR(VLOOKUP($A108,'Dietary Sample'!$A:$AA,22,FALSE),0)</f>
        <v>15.97</v>
      </c>
      <c r="O108" s="56">
        <f>IFERROR(VLOOKUP($A108,'Dietary Sample'!$A:$AM,30,FALSE)/VLOOKUP($A108,'Dietary Sample'!$A:$AM,17,FALSE),0)</f>
        <v>0</v>
      </c>
      <c r="P108" s="55">
        <v>0.85043620159417554</v>
      </c>
      <c r="Q108" s="52">
        <f>IFERROR(VLOOKUP($A108,'Housekeeping Sample'!$A:$O,15,FALSE),0)</f>
        <v>17.14</v>
      </c>
      <c r="R108" s="52">
        <f>IFERROR(VLOOKUP($A108,'Housekeeping Sample'!$A:$O,14,FALSE),0)</f>
        <v>16.48</v>
      </c>
      <c r="S108" s="56">
        <f>IFERROR(VLOOKUP($A108,'Housekeeping Sample'!$A:$P,16,FALSE)/VLOOKUP($A108,'Housekeeping Sample'!$A:$P,11,FALSE),0)</f>
        <v>0.33333333333333331</v>
      </c>
      <c r="T108" s="55">
        <v>0.45819996234230842</v>
      </c>
      <c r="U108" s="52">
        <f>IFERROR(VLOOKUP($A108,'Activities Sample'!$A:$M,13,FALSE),0)</f>
        <v>17.53166666666667</v>
      </c>
      <c r="V108" s="52">
        <f>IFERROR(VLOOKUP($A108,'Activities Sample'!$A:$M,12,FALSE),0)</f>
        <v>17.72</v>
      </c>
      <c r="W108" s="56">
        <f>IFERROR(VLOOKUP($A108,'Activities Sample'!$A:$O,15,FALSE)/VLOOKUP($A108,'Activities Sample'!$A:$O,9,FALSE),0)</f>
        <v>0.5</v>
      </c>
      <c r="X108" s="55">
        <v>0.38109583882508002</v>
      </c>
    </row>
    <row r="109" spans="1:24" s="57" customFormat="1" x14ac:dyDescent="0.55000000000000004">
      <c r="A109" s="50">
        <v>776</v>
      </c>
      <c r="B109" s="51">
        <v>1</v>
      </c>
      <c r="C109" s="51" t="s">
        <v>39</v>
      </c>
      <c r="D109" s="51" t="s">
        <v>40</v>
      </c>
      <c r="E109" s="52">
        <f>IFERROR(VLOOKUP($A109,'CNA Sample'!$A:$M,13,FALSE),0)</f>
        <v>22.423913043478262</v>
      </c>
      <c r="F109" s="53">
        <f>IFERROR(VLOOKUP($A109,'CNA Sample'!$A:$M,12,FALSE),0)</f>
        <v>22</v>
      </c>
      <c r="G109" s="54">
        <f>IFERROR(VLOOKUP($A109,'CNA Sample'!$A:$O,15,FALSE)/VLOOKUP($A109,'CNA Sample'!$A:$O,9,FALSE),0)</f>
        <v>0.56521739130434778</v>
      </c>
      <c r="H109" s="55">
        <v>1.9742435158501441</v>
      </c>
      <c r="I109" s="52">
        <f>IFERROR(VLOOKUP($A109,'Dietary Sample'!$A:$AA,27,FALSE),0)</f>
        <v>20</v>
      </c>
      <c r="J109" s="52">
        <f>IFERROR(VLOOKUP($A109,'Dietary Sample'!$A:$AA,26,FALSE),0)</f>
        <v>21</v>
      </c>
      <c r="K109" s="54">
        <f>IFERROR(VLOOKUP($A109,'Dietary Sample'!$A:$AM,35,FALSE)/VLOOKUP($A109,'Dietary Sample'!$A:$AM,18,FALSE),0)</f>
        <v>0.33333333333333331</v>
      </c>
      <c r="L109" s="55">
        <v>0.40186719500480306</v>
      </c>
      <c r="M109" s="52">
        <f>IFERROR(VLOOKUP($A109,'Dietary Sample'!$A:$AA,23,FALSE),0)</f>
        <v>17.166666666666668</v>
      </c>
      <c r="N109" s="52">
        <f>IFERROR(VLOOKUP($A109,'Dietary Sample'!$A:$AA,22,FALSE),0)</f>
        <v>16.5</v>
      </c>
      <c r="O109" s="56">
        <f>IFERROR(VLOOKUP($A109,'Dietary Sample'!$A:$AM,30,FALSE)/VLOOKUP($A109,'Dietary Sample'!$A:$AM,17,FALSE),0)</f>
        <v>0</v>
      </c>
      <c r="P109" s="55">
        <v>0.80373439000960611</v>
      </c>
      <c r="Q109" s="52">
        <f>IFERROR(VLOOKUP($A109,'Housekeeping Sample'!$A:$O,15,FALSE),0)</f>
        <v>17</v>
      </c>
      <c r="R109" s="52">
        <f>IFERROR(VLOOKUP($A109,'Housekeeping Sample'!$A:$O,14,FALSE),0)</f>
        <v>16.5</v>
      </c>
      <c r="S109" s="56">
        <f>IFERROR(VLOOKUP($A109,'Housekeeping Sample'!$A:$P,16,FALSE)/VLOOKUP($A109,'Housekeeping Sample'!$A:$P,11,FALSE),0)</f>
        <v>0.2</v>
      </c>
      <c r="T109" s="55">
        <v>0.53593299711815567</v>
      </c>
      <c r="U109" s="52">
        <f>IFERROR(VLOOKUP($A109,'Activities Sample'!$A:$M,13,FALSE),0)</f>
        <v>16</v>
      </c>
      <c r="V109" s="52">
        <f>IFERROR(VLOOKUP($A109,'Activities Sample'!$A:$M,12,FALSE),0)</f>
        <v>15.5</v>
      </c>
      <c r="W109" s="56">
        <f>IFERROR(VLOOKUP($A109,'Activities Sample'!$A:$O,15,FALSE)/VLOOKUP($A109,'Activities Sample'!$A:$O,9,FALSE),0)</f>
        <v>0.5</v>
      </c>
      <c r="X109" s="55">
        <v>0.41228386167146974</v>
      </c>
    </row>
    <row r="110" spans="1:24" s="57" customFormat="1" x14ac:dyDescent="0.55000000000000004">
      <c r="A110" s="50">
        <v>777</v>
      </c>
      <c r="B110" s="51">
        <v>2</v>
      </c>
      <c r="C110" s="51" t="s">
        <v>51</v>
      </c>
      <c r="D110" s="51" t="s">
        <v>38</v>
      </c>
      <c r="E110" s="52">
        <f>IFERROR(VLOOKUP($A110,'CNA Sample'!$A:$M,13,FALSE),0)</f>
        <v>19.586000000000002</v>
      </c>
      <c r="F110" s="53">
        <f>IFERROR(VLOOKUP($A110,'CNA Sample'!$A:$M,12,FALSE),0)</f>
        <v>19.32</v>
      </c>
      <c r="G110" s="54">
        <f>IFERROR(VLOOKUP($A110,'CNA Sample'!$A:$O,15,FALSE)/VLOOKUP($A110,'CNA Sample'!$A:$O,9,FALSE),0)</f>
        <v>0.8</v>
      </c>
      <c r="H110" s="55">
        <v>1.5666028708133972</v>
      </c>
      <c r="I110" s="52">
        <f>IFERROR(VLOOKUP($A110,'Dietary Sample'!$A:$AA,27,FALSE),0)</f>
        <v>18.361999999999998</v>
      </c>
      <c r="J110" s="52">
        <f>IFERROR(VLOOKUP($A110,'Dietary Sample'!$A:$AA,26,FALSE),0)</f>
        <v>18.11</v>
      </c>
      <c r="K110" s="54">
        <f>IFERROR(VLOOKUP($A110,'Dietary Sample'!$A:$AM,35,FALSE)/VLOOKUP($A110,'Dietary Sample'!$A:$AM,18,FALSE),0)</f>
        <v>0.4</v>
      </c>
      <c r="L110" s="55">
        <v>0.63822434875066458</v>
      </c>
      <c r="M110" s="52">
        <f>IFERROR(VLOOKUP($A110,'Dietary Sample'!$A:$AA,23,FALSE),0)</f>
        <v>15.357500000000002</v>
      </c>
      <c r="N110" s="52">
        <f>IFERROR(VLOOKUP($A110,'Dietary Sample'!$A:$AA,22,FALSE),0)</f>
        <v>15.04</v>
      </c>
      <c r="O110" s="56">
        <f>IFERROR(VLOOKUP($A110,'Dietary Sample'!$A:$AM,30,FALSE)/VLOOKUP($A110,'Dietary Sample'!$A:$AM,17,FALSE),0)</f>
        <v>0.5</v>
      </c>
      <c r="P110" s="55">
        <v>0.51057947900053169</v>
      </c>
      <c r="Q110" s="52">
        <f>IFERROR(VLOOKUP($A110,'Housekeeping Sample'!$A:$O,15,FALSE),0)</f>
        <v>0</v>
      </c>
      <c r="R110" s="52">
        <f>IFERROR(VLOOKUP($A110,'Housekeeping Sample'!$A:$O,14,FALSE),0)</f>
        <v>0</v>
      </c>
      <c r="S110" s="56">
        <f>IFERROR(VLOOKUP($A110,'Housekeeping Sample'!$A:$P,16,FALSE)/VLOOKUP($A110,'Housekeeping Sample'!$A:$P,11,FALSE),0)</f>
        <v>0</v>
      </c>
      <c r="T110" s="55">
        <v>0</v>
      </c>
      <c r="U110" s="52">
        <f>IFERROR(VLOOKUP($A110,'Activities Sample'!$A:$M,13,FALSE),0)</f>
        <v>16.740000000000002</v>
      </c>
      <c r="V110" s="52">
        <f>IFERROR(VLOOKUP($A110,'Activities Sample'!$A:$M,12,FALSE),0)</f>
        <v>16.740000000000002</v>
      </c>
      <c r="W110" s="56">
        <f>IFERROR(VLOOKUP($A110,'Activities Sample'!$A:$O,15,FALSE)/VLOOKUP($A110,'Activities Sample'!$A:$O,9,FALSE),0)</f>
        <v>0.5</v>
      </c>
      <c r="X110" s="55">
        <v>0.32296650717703351</v>
      </c>
    </row>
    <row r="111" spans="1:24" s="57" customFormat="1" x14ac:dyDescent="0.55000000000000004">
      <c r="A111" s="50">
        <v>783</v>
      </c>
      <c r="B111" s="51">
        <v>2</v>
      </c>
      <c r="C111" s="51" t="s">
        <v>51</v>
      </c>
      <c r="D111" s="51" t="s">
        <v>38</v>
      </c>
      <c r="E111" s="52">
        <f>IFERROR(VLOOKUP($A111,'CNA Sample'!$A:$M,13,FALSE),0)</f>
        <v>18.799675000000001</v>
      </c>
      <c r="F111" s="53">
        <f>IFERROR(VLOOKUP($A111,'CNA Sample'!$A:$M,12,FALSE),0)</f>
        <v>18.403950000000002</v>
      </c>
      <c r="G111" s="54">
        <f>IFERROR(VLOOKUP($A111,'CNA Sample'!$A:$O,15,FALSE)/VLOOKUP($A111,'CNA Sample'!$A:$O,9,FALSE),0)</f>
        <v>0.79166666666666663</v>
      </c>
      <c r="H111" s="55">
        <v>1.801094890510949</v>
      </c>
      <c r="I111" s="52">
        <f>IFERROR(VLOOKUP($A111,'Dietary Sample'!$A:$AA,27,FALSE),0)</f>
        <v>17.947175000000001</v>
      </c>
      <c r="J111" s="52">
        <f>IFERROR(VLOOKUP($A111,'Dietary Sample'!$A:$AA,26,FALSE),0)</f>
        <v>17.642200000000003</v>
      </c>
      <c r="K111" s="54">
        <f>IFERROR(VLOOKUP($A111,'Dietary Sample'!$A:$AM,35,FALSE)/VLOOKUP($A111,'Dietary Sample'!$A:$AM,18,FALSE),0)</f>
        <v>0.5</v>
      </c>
      <c r="L111" s="55">
        <v>0.32467942394949695</v>
      </c>
      <c r="M111" s="52">
        <f>IFERROR(VLOOKUP($A111,'Dietary Sample'!$A:$AA,23,FALSE),0)</f>
        <v>14.291372727272726</v>
      </c>
      <c r="N111" s="52">
        <f>IFERROR(VLOOKUP($A111,'Dietary Sample'!$A:$AA,22,FALSE),0)</f>
        <v>13.7</v>
      </c>
      <c r="O111" s="56">
        <f>IFERROR(VLOOKUP($A111,'Dietary Sample'!$A:$AM,30,FALSE)/VLOOKUP($A111,'Dietary Sample'!$A:$AM,17,FALSE),0)</f>
        <v>0.45454545454545453</v>
      </c>
      <c r="P111" s="55">
        <v>0.89286841586111654</v>
      </c>
      <c r="Q111" s="52">
        <f>IFERROR(VLOOKUP($A111,'Housekeeping Sample'!$A:$O,15,FALSE),0)</f>
        <v>14.314360000000002</v>
      </c>
      <c r="R111" s="52">
        <f>IFERROR(VLOOKUP($A111,'Housekeeping Sample'!$A:$O,14,FALSE),0)</f>
        <v>12.91</v>
      </c>
      <c r="S111" s="56">
        <f>IFERROR(VLOOKUP($A111,'Housekeeping Sample'!$A:$P,16,FALSE)/VLOOKUP($A111,'Housekeeping Sample'!$A:$P,11,FALSE),0)</f>
        <v>0.4</v>
      </c>
      <c r="T111" s="55">
        <v>0.55247583349773133</v>
      </c>
      <c r="U111" s="52">
        <f>IFERROR(VLOOKUP($A111,'Activities Sample'!$A:$M,13,FALSE),0)</f>
        <v>13.432875000000001</v>
      </c>
      <c r="V111" s="52">
        <f>IFERROR(VLOOKUP($A111,'Activities Sample'!$A:$M,12,FALSE),0)</f>
        <v>13.18</v>
      </c>
      <c r="W111" s="56">
        <f>IFERROR(VLOOKUP($A111,'Activities Sample'!$A:$O,15,FALSE)/VLOOKUP($A111,'Activities Sample'!$A:$O,9,FALSE),0)</f>
        <v>0.5</v>
      </c>
      <c r="X111" s="55">
        <v>0.55079897415663837</v>
      </c>
    </row>
    <row r="112" spans="1:24" s="57" customFormat="1" x14ac:dyDescent="0.55000000000000004">
      <c r="A112" s="50">
        <v>788</v>
      </c>
      <c r="B112" s="51">
        <v>3</v>
      </c>
      <c r="C112" s="51" t="s">
        <v>37</v>
      </c>
      <c r="D112" s="51" t="s">
        <v>40</v>
      </c>
      <c r="E112" s="52">
        <f>IFERROR(VLOOKUP($A112,'CNA Sample'!$A:$M,13,FALSE),0)</f>
        <v>19.409199999999998</v>
      </c>
      <c r="F112" s="53">
        <f>IFERROR(VLOOKUP($A112,'CNA Sample'!$A:$M,12,FALSE),0)</f>
        <v>19.22</v>
      </c>
      <c r="G112" s="54">
        <f>IFERROR(VLOOKUP($A112,'CNA Sample'!$A:$O,15,FALSE)/VLOOKUP($A112,'CNA Sample'!$A:$O,9,FALSE),0)</f>
        <v>0.68</v>
      </c>
      <c r="H112" s="55">
        <v>1.7126865671641791</v>
      </c>
      <c r="I112" s="52">
        <f>IFERROR(VLOOKUP($A112,'Dietary Sample'!$A:$AA,27,FALSE),0)</f>
        <v>18.8</v>
      </c>
      <c r="J112" s="52">
        <f>IFERROR(VLOOKUP($A112,'Dietary Sample'!$A:$AA,26,FALSE),0)</f>
        <v>18.8</v>
      </c>
      <c r="K112" s="54">
        <f>IFERROR(VLOOKUP($A112,'Dietary Sample'!$A:$AM,35,FALSE)/VLOOKUP($A112,'Dietary Sample'!$A:$AM,18,FALSE),0)</f>
        <v>0</v>
      </c>
      <c r="L112" s="55">
        <v>0.38373919874312645</v>
      </c>
      <c r="M112" s="52">
        <f>IFERROR(VLOOKUP($A112,'Dietary Sample'!$A:$AA,23,FALSE),0)</f>
        <v>15</v>
      </c>
      <c r="N112" s="52">
        <f>IFERROR(VLOOKUP($A112,'Dietary Sample'!$A:$AA,22,FALSE),0)</f>
        <v>15</v>
      </c>
      <c r="O112" s="56">
        <f>IFERROR(VLOOKUP($A112,'Dietary Sample'!$A:$AM,30,FALSE)/VLOOKUP($A112,'Dietary Sample'!$A:$AM,17,FALSE),0)</f>
        <v>0</v>
      </c>
      <c r="P112" s="55">
        <v>0.38373919874312645</v>
      </c>
      <c r="Q112" s="52">
        <f>IFERROR(VLOOKUP($A112,'Housekeeping Sample'!$A:$O,15,FALSE),0)</f>
        <v>0</v>
      </c>
      <c r="R112" s="52">
        <f>IFERROR(VLOOKUP($A112,'Housekeeping Sample'!$A:$O,14,FALSE),0)</f>
        <v>0</v>
      </c>
      <c r="S112" s="56">
        <f>IFERROR(VLOOKUP($A112,'Housekeeping Sample'!$A:$P,16,FALSE)/VLOOKUP($A112,'Housekeeping Sample'!$A:$P,11,FALSE),0)</f>
        <v>0</v>
      </c>
      <c r="T112" s="55">
        <v>0</v>
      </c>
      <c r="U112" s="52">
        <f>IFERROR(VLOOKUP($A112,'Activities Sample'!$A:$M,13,FALSE),0)</f>
        <v>17.8</v>
      </c>
      <c r="V112" s="52">
        <f>IFERROR(VLOOKUP($A112,'Activities Sample'!$A:$M,12,FALSE),0)</f>
        <v>17.8</v>
      </c>
      <c r="W112" s="56">
        <f>IFERROR(VLOOKUP($A112,'Activities Sample'!$A:$O,15,FALSE)/VLOOKUP($A112,'Activities Sample'!$A:$O,9,FALSE),0)</f>
        <v>0</v>
      </c>
      <c r="X112" s="55">
        <v>0.35889630793401411</v>
      </c>
    </row>
    <row r="113" spans="1:24" s="57" customFormat="1" x14ac:dyDescent="0.55000000000000004">
      <c r="A113" s="50">
        <v>801</v>
      </c>
      <c r="B113" s="51">
        <v>2</v>
      </c>
      <c r="C113" s="51" t="s">
        <v>49</v>
      </c>
      <c r="D113" s="51" t="s">
        <v>45</v>
      </c>
      <c r="E113" s="52">
        <f>IFERROR(VLOOKUP($A113,'CNA Sample'!$A:$M,13,FALSE),0)</f>
        <v>0</v>
      </c>
      <c r="F113" s="53">
        <f>IFERROR(VLOOKUP($A113,'CNA Sample'!$A:$M,12,FALSE),0)</f>
        <v>0</v>
      </c>
      <c r="G113" s="54">
        <f>IFERROR(VLOOKUP($A113,'CNA Sample'!$A:$O,15,FALSE)/VLOOKUP($A113,'CNA Sample'!$A:$O,9,FALSE),0)</f>
        <v>0</v>
      </c>
      <c r="H113" s="55">
        <v>0</v>
      </c>
      <c r="I113" s="52">
        <f>IFERROR(VLOOKUP($A113,'Dietary Sample'!$A:$AA,27,FALSE),0)</f>
        <v>0</v>
      </c>
      <c r="J113" s="52">
        <f>IFERROR(VLOOKUP($A113,'Dietary Sample'!$A:$AA,26,FALSE),0)</f>
        <v>0</v>
      </c>
      <c r="K113" s="54">
        <f>IFERROR(VLOOKUP($A113,'Dietary Sample'!$A:$AM,35,FALSE)/VLOOKUP($A113,'Dietary Sample'!$A:$AM,18,FALSE),0)</f>
        <v>0</v>
      </c>
      <c r="L113" s="55">
        <v>0</v>
      </c>
      <c r="M113" s="52">
        <f>IFERROR(VLOOKUP($A113,'Dietary Sample'!$A:$AA,23,FALSE),0)</f>
        <v>0</v>
      </c>
      <c r="N113" s="52">
        <f>IFERROR(VLOOKUP($A113,'Dietary Sample'!$A:$AA,22,FALSE),0)</f>
        <v>0</v>
      </c>
      <c r="O113" s="56">
        <f>IFERROR(VLOOKUP($A113,'Dietary Sample'!$A:$AM,30,FALSE)/VLOOKUP($A113,'Dietary Sample'!$A:$AM,17,FALSE),0)</f>
        <v>0</v>
      </c>
      <c r="P113" s="55">
        <v>0</v>
      </c>
      <c r="Q113" s="52">
        <f>IFERROR(VLOOKUP($A113,'Housekeeping Sample'!$A:$O,15,FALSE),0)</f>
        <v>15</v>
      </c>
      <c r="R113" s="52">
        <f>IFERROR(VLOOKUP($A113,'Housekeeping Sample'!$A:$O,14,FALSE),0)</f>
        <v>15</v>
      </c>
      <c r="S113" s="56">
        <f>IFERROR(VLOOKUP($A113,'Housekeeping Sample'!$A:$P,16,FALSE)/VLOOKUP($A113,'Housekeeping Sample'!$A:$P,11,FALSE),0)</f>
        <v>0.5</v>
      </c>
      <c r="T113" s="55">
        <v>0.48429521893857341</v>
      </c>
      <c r="U113" s="52">
        <f>IFERROR(VLOOKUP($A113,'Activities Sample'!$A:$M,13,FALSE),0)</f>
        <v>0</v>
      </c>
      <c r="V113" s="52">
        <f>IFERROR(VLOOKUP($A113,'Activities Sample'!$A:$M,12,FALSE),0)</f>
        <v>0</v>
      </c>
      <c r="W113" s="56">
        <f>IFERROR(VLOOKUP($A113,'Activities Sample'!$A:$O,15,FALSE)/VLOOKUP($A113,'Activities Sample'!$A:$O,9,FALSE),0)</f>
        <v>0</v>
      </c>
      <c r="X113" s="55">
        <v>0</v>
      </c>
    </row>
    <row r="114" spans="1:24" s="57" customFormat="1" x14ac:dyDescent="0.55000000000000004">
      <c r="A114" s="50">
        <v>803</v>
      </c>
      <c r="B114" s="51">
        <v>3</v>
      </c>
      <c r="C114" s="51" t="s">
        <v>37</v>
      </c>
      <c r="D114" s="51" t="s">
        <v>45</v>
      </c>
      <c r="E114" s="52">
        <f>IFERROR(VLOOKUP($A114,'CNA Sample'!$A:$M,13,FALSE),0)</f>
        <v>0</v>
      </c>
      <c r="F114" s="53">
        <f>IFERROR(VLOOKUP($A114,'CNA Sample'!$A:$M,12,FALSE),0)</f>
        <v>0</v>
      </c>
      <c r="G114" s="54">
        <f>IFERROR(VLOOKUP($A114,'CNA Sample'!$A:$O,15,FALSE)/VLOOKUP($A114,'CNA Sample'!$A:$O,9,FALSE),0)</f>
        <v>0</v>
      </c>
      <c r="H114" s="55">
        <v>0</v>
      </c>
      <c r="I114" s="52">
        <f>IFERROR(VLOOKUP($A114,'Dietary Sample'!$A:$AA,27,FALSE),0)</f>
        <v>18.462499999999999</v>
      </c>
      <c r="J114" s="52">
        <f>IFERROR(VLOOKUP($A114,'Dietary Sample'!$A:$AA,26,FALSE),0)</f>
        <v>18.07</v>
      </c>
      <c r="K114" s="54">
        <f>IFERROR(VLOOKUP($A114,'Dietary Sample'!$A:$AM,35,FALSE)/VLOOKUP($A114,'Dietary Sample'!$A:$AM,18,FALSE),0)</f>
        <v>0.5</v>
      </c>
      <c r="L114" s="55">
        <v>0.40393473112186329</v>
      </c>
      <c r="M114" s="52">
        <f>IFERROR(VLOOKUP($A114,'Dietary Sample'!$A:$AA,23,FALSE),0)</f>
        <v>16.026000000000003</v>
      </c>
      <c r="N114" s="52">
        <f>IFERROR(VLOOKUP($A114,'Dietary Sample'!$A:$AA,22,FALSE),0)</f>
        <v>15.71</v>
      </c>
      <c r="O114" s="56">
        <f>IFERROR(VLOOKUP($A114,'Dietary Sample'!$A:$AM,30,FALSE)/VLOOKUP($A114,'Dietary Sample'!$A:$AM,17,FALSE),0)</f>
        <v>0</v>
      </c>
      <c r="P114" s="55">
        <v>0.50491841390232917</v>
      </c>
      <c r="Q114" s="52">
        <f>IFERROR(VLOOKUP($A114,'Housekeeping Sample'!$A:$O,15,FALSE),0)</f>
        <v>0</v>
      </c>
      <c r="R114" s="52">
        <f>IFERROR(VLOOKUP($A114,'Housekeeping Sample'!$A:$O,14,FALSE),0)</f>
        <v>0</v>
      </c>
      <c r="S114" s="56">
        <f>IFERROR(VLOOKUP($A114,'Housekeeping Sample'!$A:$P,16,FALSE)/VLOOKUP($A114,'Housekeeping Sample'!$A:$P,11,FALSE),0)</f>
        <v>0</v>
      </c>
      <c r="T114" s="55">
        <v>0</v>
      </c>
      <c r="U114" s="52">
        <f>IFERROR(VLOOKUP($A114,'Activities Sample'!$A:$M,13,FALSE),0)</f>
        <v>15.355</v>
      </c>
      <c r="V114" s="52">
        <f>IFERROR(VLOOKUP($A114,'Activities Sample'!$A:$M,12,FALSE),0)</f>
        <v>15.355</v>
      </c>
      <c r="W114" s="56">
        <f>IFERROR(VLOOKUP($A114,'Activities Sample'!$A:$O,15,FALSE)/VLOOKUP($A114,'Activities Sample'!$A:$O,9,FALSE),0)</f>
        <v>0.5</v>
      </c>
      <c r="X114" s="55">
        <v>0.16490126847129594</v>
      </c>
    </row>
    <row r="115" spans="1:24" s="57" customFormat="1" x14ac:dyDescent="0.55000000000000004">
      <c r="A115" s="50">
        <v>814</v>
      </c>
      <c r="B115" s="58">
        <v>3</v>
      </c>
      <c r="C115" s="58" t="s">
        <v>37</v>
      </c>
      <c r="D115" s="58" t="s">
        <v>45</v>
      </c>
      <c r="E115" s="59">
        <f>IFERROR(VLOOKUP($A115,'CNA Sample'!$A:$M,13,FALSE),0)</f>
        <v>22.402777777777782</v>
      </c>
      <c r="F115" s="53">
        <f>IFERROR(VLOOKUP($A115,'CNA Sample'!$A:$M,12,FALSE),0)</f>
        <v>22.5</v>
      </c>
      <c r="G115" s="60">
        <f>IFERROR(VLOOKUP($A115,'CNA Sample'!$A:$O,15,FALSE)/VLOOKUP($A115,'CNA Sample'!$A:$O,9,FALSE),0)</f>
        <v>0.5</v>
      </c>
      <c r="H115" s="55">
        <v>1.6335328668184246</v>
      </c>
      <c r="I115" s="52">
        <f>IFERROR(VLOOKUP($A115,'Dietary Sample'!$A:$AA,27,FALSE),0)</f>
        <v>21.72</v>
      </c>
      <c r="J115" s="52">
        <f>IFERROR(VLOOKUP($A115,'Dietary Sample'!$A:$AA,26,FALSE),0)</f>
        <v>21</v>
      </c>
      <c r="K115" s="54">
        <f>IFERROR(VLOOKUP($A115,'Dietary Sample'!$A:$AM,35,FALSE)/VLOOKUP($A115,'Dietary Sample'!$A:$AM,18,FALSE),0)</f>
        <v>0.33333333333333331</v>
      </c>
      <c r="L115" s="55">
        <v>0.12381160203732451</v>
      </c>
      <c r="M115" s="52">
        <f>IFERROR(VLOOKUP($A115,'Dietary Sample'!$A:$AA,23,FALSE),0)</f>
        <v>16.542857142857141</v>
      </c>
      <c r="N115" s="52">
        <f>IFERROR(VLOOKUP($A115,'Dietary Sample'!$A:$AA,22,FALSE),0)</f>
        <v>16</v>
      </c>
      <c r="O115" s="56">
        <f>IFERROR(VLOOKUP($A115,'Dietary Sample'!$A:$AM,30,FALSE)/VLOOKUP($A115,'Dietary Sample'!$A:$AM,17,FALSE),0)</f>
        <v>0</v>
      </c>
      <c r="P115" s="55">
        <v>0.57778747617418091</v>
      </c>
      <c r="Q115" s="52">
        <f>IFERROR(VLOOKUP($A115,'Housekeeping Sample'!$A:$O,15,FALSE),0)</f>
        <v>18.13571428571429</v>
      </c>
      <c r="R115" s="52">
        <f>IFERROR(VLOOKUP($A115,'Housekeeping Sample'!$A:$O,14,FALSE),0)</f>
        <v>18.45</v>
      </c>
      <c r="S115" s="56">
        <f>IFERROR(VLOOKUP($A115,'Housekeeping Sample'!$A:$P,16,FALSE)/VLOOKUP($A115,'Housekeeping Sample'!$A:$P,11,FALSE),0)</f>
        <v>0.14285714285714285</v>
      </c>
      <c r="T115" s="55">
        <v>0.27437259365427313</v>
      </c>
      <c r="U115" s="52">
        <f>IFERROR(VLOOKUP($A115,'Activities Sample'!$A:$M,13,FALSE),0)</f>
        <v>20.447499999999998</v>
      </c>
      <c r="V115" s="52">
        <f>IFERROR(VLOOKUP($A115,'Activities Sample'!$A:$M,12,FALSE),0)</f>
        <v>20.11</v>
      </c>
      <c r="W115" s="56">
        <f>IFERROR(VLOOKUP($A115,'Activities Sample'!$A:$O,15,FALSE)/VLOOKUP($A115,'Activities Sample'!$A:$O,9,FALSE),0)</f>
        <v>0.5</v>
      </c>
      <c r="X115" s="55">
        <v>0.19270438130567968</v>
      </c>
    </row>
    <row r="116" spans="1:24" s="57" customFormat="1" x14ac:dyDescent="0.55000000000000004">
      <c r="A116" s="50">
        <v>817</v>
      </c>
      <c r="B116" s="58">
        <v>3</v>
      </c>
      <c r="C116" s="58" t="s">
        <v>37</v>
      </c>
      <c r="D116" s="58" t="s">
        <v>40</v>
      </c>
      <c r="E116" s="59">
        <f>IFERROR(VLOOKUP($A116,'CNA Sample'!$A:$M,13,FALSE),0)</f>
        <v>19.556827830020996</v>
      </c>
      <c r="F116" s="53">
        <f>IFERROR(VLOOKUP($A116,'CNA Sample'!$A:$M,12,FALSE),0)</f>
        <v>18.745016487455178</v>
      </c>
      <c r="G116" s="60">
        <f>IFERROR(VLOOKUP($A116,'CNA Sample'!$A:$O,15,FALSE)/VLOOKUP($A116,'CNA Sample'!$A:$O,9,FALSE),0)</f>
        <v>0.52631578947368418</v>
      </c>
      <c r="H116" s="55">
        <v>1.5635917866993565</v>
      </c>
      <c r="I116" s="52">
        <f>IFERROR(VLOOKUP($A116,'Dietary Sample'!$A:$AA,27,FALSE),0)</f>
        <v>0</v>
      </c>
      <c r="J116" s="52">
        <f>IFERROR(VLOOKUP($A116,'Dietary Sample'!$A:$AA,26,FALSE),0)</f>
        <v>0</v>
      </c>
      <c r="K116" s="54">
        <f>IFERROR(VLOOKUP($A116,'Dietary Sample'!$A:$AM,35,FALSE)/VLOOKUP($A116,'Dietary Sample'!$A:$AM,18,FALSE),0)</f>
        <v>0</v>
      </c>
      <c r="L116" s="55">
        <v>0</v>
      </c>
      <c r="M116" s="52">
        <f>IFERROR(VLOOKUP($A116,'Dietary Sample'!$A:$AA,23,FALSE),0)</f>
        <v>0</v>
      </c>
      <c r="N116" s="52">
        <f>IFERROR(VLOOKUP($A116,'Dietary Sample'!$A:$AA,22,FALSE),0)</f>
        <v>0</v>
      </c>
      <c r="O116" s="56">
        <f>IFERROR(VLOOKUP($A116,'Dietary Sample'!$A:$AM,30,FALSE)/VLOOKUP($A116,'Dietary Sample'!$A:$AM,17,FALSE),0)</f>
        <v>0</v>
      </c>
      <c r="P116" s="55">
        <v>0</v>
      </c>
      <c r="Q116" s="52">
        <f>IFERROR(VLOOKUP($A116,'Housekeeping Sample'!$A:$O,15,FALSE),0)</f>
        <v>15.01535527293354</v>
      </c>
      <c r="R116" s="52">
        <f>IFERROR(VLOOKUP($A116,'Housekeeping Sample'!$A:$O,14,FALSE),0)</f>
        <v>15</v>
      </c>
      <c r="S116" s="56">
        <f>IFERROR(VLOOKUP($A116,'Housekeeping Sample'!$A:$P,16,FALSE)/VLOOKUP($A116,'Housekeeping Sample'!$A:$P,11,FALSE),0)</f>
        <v>0.33333333333333331</v>
      </c>
      <c r="T116" s="55">
        <v>0.32236864507780844</v>
      </c>
      <c r="U116" s="52">
        <f>IFERROR(VLOOKUP($A116,'Activities Sample'!$A:$M,13,FALSE),0)</f>
        <v>0</v>
      </c>
      <c r="V116" s="52">
        <f>IFERROR(VLOOKUP($A116,'Activities Sample'!$A:$M,12,FALSE),0)</f>
        <v>0</v>
      </c>
      <c r="W116" s="56">
        <f>IFERROR(VLOOKUP($A116,'Activities Sample'!$A:$O,15,FALSE)/VLOOKUP($A116,'Activities Sample'!$A:$O,9,FALSE),0)</f>
        <v>0</v>
      </c>
      <c r="X116" s="55">
        <v>0</v>
      </c>
    </row>
    <row r="117" spans="1:24" s="57" customFormat="1" x14ac:dyDescent="0.55000000000000004">
      <c r="A117" s="50">
        <v>820</v>
      </c>
      <c r="B117" s="51">
        <v>3</v>
      </c>
      <c r="C117" s="51" t="s">
        <v>37</v>
      </c>
      <c r="D117" s="51" t="s">
        <v>40</v>
      </c>
      <c r="E117" s="52">
        <f>IFERROR(VLOOKUP($A117,'CNA Sample'!$A:$M,13,FALSE),0)</f>
        <v>21.498695652173915</v>
      </c>
      <c r="F117" s="53">
        <f>IFERROR(VLOOKUP($A117,'CNA Sample'!$A:$M,12,FALSE),0)</f>
        <v>22</v>
      </c>
      <c r="G117" s="54">
        <f>IFERROR(VLOOKUP($A117,'CNA Sample'!$A:$O,15,FALSE)/VLOOKUP($A117,'CNA Sample'!$A:$O,9,FALSE),0)</f>
        <v>0.43478260869565216</v>
      </c>
      <c r="H117" s="55">
        <v>2.0658334176702762</v>
      </c>
      <c r="I117" s="52">
        <f>IFERROR(VLOOKUP($A117,'Dietary Sample'!$A:$AA,27,FALSE),0)</f>
        <v>0</v>
      </c>
      <c r="J117" s="52">
        <f>IFERROR(VLOOKUP($A117,'Dietary Sample'!$A:$AA,26,FALSE),0)</f>
        <v>0</v>
      </c>
      <c r="K117" s="54">
        <f>IFERROR(VLOOKUP($A117,'Dietary Sample'!$A:$AM,35,FALSE)/VLOOKUP($A117,'Dietary Sample'!$A:$AM,18,FALSE),0)</f>
        <v>0</v>
      </c>
      <c r="L117" s="55">
        <v>0</v>
      </c>
      <c r="M117" s="52">
        <f>IFERROR(VLOOKUP($A117,'Dietary Sample'!$A:$AA,23,FALSE),0)</f>
        <v>0</v>
      </c>
      <c r="N117" s="52">
        <f>IFERROR(VLOOKUP($A117,'Dietary Sample'!$A:$AA,22,FALSE),0)</f>
        <v>0</v>
      </c>
      <c r="O117" s="56">
        <f>IFERROR(VLOOKUP($A117,'Dietary Sample'!$A:$AM,30,FALSE)/VLOOKUP($A117,'Dietary Sample'!$A:$AM,17,FALSE),0)</f>
        <v>0</v>
      </c>
      <c r="P117" s="55">
        <v>0</v>
      </c>
      <c r="Q117" s="52">
        <f>IFERROR(VLOOKUP($A117,'Housekeeping Sample'!$A:$O,15,FALSE),0)</f>
        <v>0</v>
      </c>
      <c r="R117" s="52">
        <f>IFERROR(VLOOKUP($A117,'Housekeeping Sample'!$A:$O,14,FALSE),0)</f>
        <v>0</v>
      </c>
      <c r="S117" s="56">
        <f>IFERROR(VLOOKUP($A117,'Housekeeping Sample'!$A:$P,16,FALSE)/VLOOKUP($A117,'Housekeeping Sample'!$A:$P,11,FALSE),0)</f>
        <v>0</v>
      </c>
      <c r="T117" s="55">
        <v>0</v>
      </c>
      <c r="U117" s="52">
        <f>IFERROR(VLOOKUP($A117,'Activities Sample'!$A:$M,13,FALSE),0)</f>
        <v>0</v>
      </c>
      <c r="V117" s="52">
        <f>IFERROR(VLOOKUP($A117,'Activities Sample'!$A:$M,12,FALSE),0)</f>
        <v>0</v>
      </c>
      <c r="W117" s="56">
        <f>IFERROR(VLOOKUP($A117,'Activities Sample'!$A:$O,15,FALSE)/VLOOKUP($A117,'Activities Sample'!$A:$O,9,FALSE),0)</f>
        <v>0</v>
      </c>
      <c r="X117" s="55">
        <v>0</v>
      </c>
    </row>
    <row r="118" spans="1:24" s="57" customFormat="1" x14ac:dyDescent="0.55000000000000004">
      <c r="A118" s="50">
        <v>824</v>
      </c>
      <c r="B118" s="51">
        <v>1</v>
      </c>
      <c r="C118" s="51" t="s">
        <v>46</v>
      </c>
      <c r="D118" s="51" t="s">
        <v>43</v>
      </c>
      <c r="E118" s="52">
        <f>IFERROR(VLOOKUP($A118,'CNA Sample'!$A:$M,13,FALSE),0)</f>
        <v>0</v>
      </c>
      <c r="F118" s="53">
        <f>IFERROR(VLOOKUP($A118,'CNA Sample'!$A:$M,12,FALSE),0)</f>
        <v>0</v>
      </c>
      <c r="G118" s="54">
        <f>IFERROR(VLOOKUP($A118,'CNA Sample'!$A:$O,15,FALSE)/VLOOKUP($A118,'CNA Sample'!$A:$O,9,FALSE),0)</f>
        <v>0</v>
      </c>
      <c r="H118" s="55">
        <v>0</v>
      </c>
      <c r="I118" s="52">
        <f>IFERROR(VLOOKUP($A118,'Dietary Sample'!$A:$AA,27,FALSE),0)</f>
        <v>21.86571428571429</v>
      </c>
      <c r="J118" s="52">
        <f>IFERROR(VLOOKUP($A118,'Dietary Sample'!$A:$AA,26,FALSE),0)</f>
        <v>22.65</v>
      </c>
      <c r="K118" s="54">
        <f>IFERROR(VLOOKUP($A118,'Dietary Sample'!$A:$AM,35,FALSE)/VLOOKUP($A118,'Dietary Sample'!$A:$AM,18,FALSE),0)</f>
        <v>0.42857142857142855</v>
      </c>
      <c r="L118" s="55">
        <v>0.28018153911294591</v>
      </c>
      <c r="M118" s="52">
        <f>IFERROR(VLOOKUP($A118,'Dietary Sample'!$A:$AA,23,FALSE),0)</f>
        <v>14.818571428571431</v>
      </c>
      <c r="N118" s="52">
        <f>IFERROR(VLOOKUP($A118,'Dietary Sample'!$A:$AA,22,FALSE),0)</f>
        <v>14.64</v>
      </c>
      <c r="O118" s="56">
        <f>IFERROR(VLOOKUP($A118,'Dietary Sample'!$A:$AM,30,FALSE)/VLOOKUP($A118,'Dietary Sample'!$A:$AM,17,FALSE),0)</f>
        <v>0.42857142857142855</v>
      </c>
      <c r="P118" s="55">
        <v>0.56036307822589182</v>
      </c>
      <c r="Q118" s="52">
        <f>IFERROR(VLOOKUP($A118,'Housekeeping Sample'!$A:$O,15,FALSE),0)</f>
        <v>18.4175</v>
      </c>
      <c r="R118" s="52">
        <f>IFERROR(VLOOKUP($A118,'Housekeeping Sample'!$A:$O,14,FALSE),0)</f>
        <v>17.965</v>
      </c>
      <c r="S118" s="56">
        <f>IFERROR(VLOOKUP($A118,'Housekeeping Sample'!$A:$P,16,FALSE)/VLOOKUP($A118,'Housekeeping Sample'!$A:$P,11,FALSE),0)</f>
        <v>0.5</v>
      </c>
      <c r="T118" s="55">
        <v>0.3759923785328676</v>
      </c>
      <c r="U118" s="52">
        <f>IFERROR(VLOOKUP($A118,'Activities Sample'!$A:$M,13,FALSE),0)</f>
        <v>17.512499999999999</v>
      </c>
      <c r="V118" s="52">
        <f>IFERROR(VLOOKUP($A118,'Activities Sample'!$A:$M,12,FALSE),0)</f>
        <v>17.504999999999999</v>
      </c>
      <c r="W118" s="56">
        <f>IFERROR(VLOOKUP($A118,'Activities Sample'!$A:$O,15,FALSE)/VLOOKUP($A118,'Activities Sample'!$A:$O,9,FALSE),0)</f>
        <v>0.5</v>
      </c>
      <c r="X118" s="55">
        <v>0.43037472213401079</v>
      </c>
    </row>
    <row r="119" spans="1:24" s="57" customFormat="1" x14ac:dyDescent="0.55000000000000004">
      <c r="A119" s="50">
        <v>826</v>
      </c>
      <c r="B119" s="51">
        <v>3</v>
      </c>
      <c r="C119" s="51" t="s">
        <v>47</v>
      </c>
      <c r="D119" s="51" t="s">
        <v>38</v>
      </c>
      <c r="E119" s="52">
        <f>IFERROR(VLOOKUP($A119,'CNA Sample'!$A:$M,13,FALSE),0)</f>
        <v>18.696153846153841</v>
      </c>
      <c r="F119" s="53">
        <f>IFERROR(VLOOKUP($A119,'CNA Sample'!$A:$M,12,FALSE),0)</f>
        <v>19.09</v>
      </c>
      <c r="G119" s="54">
        <f>IFERROR(VLOOKUP($A119,'CNA Sample'!$A:$O,15,FALSE)/VLOOKUP($A119,'CNA Sample'!$A:$O,9,FALSE),0)</f>
        <v>0.46153846153846156</v>
      </c>
      <c r="H119" s="55">
        <v>2.258520132105966</v>
      </c>
      <c r="I119" s="52">
        <f>IFERROR(VLOOKUP($A119,'Dietary Sample'!$A:$AA,27,FALSE),0)</f>
        <v>20.183333333333334</v>
      </c>
      <c r="J119" s="52">
        <f>IFERROR(VLOOKUP($A119,'Dietary Sample'!$A:$AA,26,FALSE),0)</f>
        <v>20.58</v>
      </c>
      <c r="K119" s="54">
        <f>IFERROR(VLOOKUP($A119,'Dietary Sample'!$A:$AM,35,FALSE)/VLOOKUP($A119,'Dietary Sample'!$A:$AM,18,FALSE),0)</f>
        <v>0.33333333333333331</v>
      </c>
      <c r="L119" s="55">
        <v>0.528775209050664</v>
      </c>
      <c r="M119" s="52">
        <f>IFERROR(VLOOKUP($A119,'Dietary Sample'!$A:$AA,23,FALSE),0)</f>
        <v>15.693333333333333</v>
      </c>
      <c r="N119" s="52">
        <f>IFERROR(VLOOKUP($A119,'Dietary Sample'!$A:$AA,22,FALSE),0)</f>
        <v>16.39</v>
      </c>
      <c r="O119" s="56">
        <f>IFERROR(VLOOKUP($A119,'Dietary Sample'!$A:$AM,30,FALSE)/VLOOKUP($A119,'Dietary Sample'!$A:$AM,17,FALSE),0)</f>
        <v>0.33333333333333331</v>
      </c>
      <c r="P119" s="55">
        <v>0.528775209050664</v>
      </c>
      <c r="Q119" s="52">
        <f>IFERROR(VLOOKUP($A119,'Housekeeping Sample'!$A:$O,15,FALSE),0)</f>
        <v>15.57</v>
      </c>
      <c r="R119" s="52">
        <f>IFERROR(VLOOKUP($A119,'Housekeeping Sample'!$A:$O,14,FALSE),0)</f>
        <v>15.5</v>
      </c>
      <c r="S119" s="56">
        <f>IFERROR(VLOOKUP($A119,'Housekeeping Sample'!$A:$P,16,FALSE)/VLOOKUP($A119,'Housekeeping Sample'!$A:$P,11,FALSE),0)</f>
        <v>0.25</v>
      </c>
      <c r="T119" s="55">
        <v>0.5001054036961563</v>
      </c>
      <c r="U119" s="52">
        <f>IFERROR(VLOOKUP($A119,'Activities Sample'!$A:$M,13,FALSE),0)</f>
        <v>14.5</v>
      </c>
      <c r="V119" s="52">
        <f>IFERROR(VLOOKUP($A119,'Activities Sample'!$A:$M,12,FALSE),0)</f>
        <v>14.3</v>
      </c>
      <c r="W119" s="56">
        <f>IFERROR(VLOOKUP($A119,'Activities Sample'!$A:$O,15,FALSE)/VLOOKUP($A119,'Activities Sample'!$A:$O,9,FALSE),0)</f>
        <v>0.6</v>
      </c>
      <c r="X119" s="55">
        <v>0.40095566017848361</v>
      </c>
    </row>
    <row r="120" spans="1:24" s="57" customFormat="1" x14ac:dyDescent="0.55000000000000004">
      <c r="A120" s="50">
        <v>828</v>
      </c>
      <c r="B120" s="51">
        <v>3</v>
      </c>
      <c r="C120" s="51" t="s">
        <v>47</v>
      </c>
      <c r="D120" s="51" t="s">
        <v>43</v>
      </c>
      <c r="E120" s="52">
        <f>IFERROR(VLOOKUP($A120,'CNA Sample'!$A:$M,13,FALSE),0)</f>
        <v>18.16076923076923</v>
      </c>
      <c r="F120" s="53">
        <f>IFERROR(VLOOKUP($A120,'CNA Sample'!$A:$M,12,FALSE),0)</f>
        <v>18.11</v>
      </c>
      <c r="G120" s="54">
        <f>IFERROR(VLOOKUP($A120,'CNA Sample'!$A:$O,15,FALSE)/VLOOKUP($A120,'CNA Sample'!$A:$O,9,FALSE),0)</f>
        <v>0.61538461538461542</v>
      </c>
      <c r="H120" s="55">
        <v>3.3147128245476005</v>
      </c>
      <c r="I120" s="52">
        <f>IFERROR(VLOOKUP($A120,'Dietary Sample'!$A:$AA,27,FALSE),0)</f>
        <v>16.935384615384613</v>
      </c>
      <c r="J120" s="52">
        <f>IFERROR(VLOOKUP($A120,'Dietary Sample'!$A:$AA,26,FALSE),0)</f>
        <v>16.670000000000002</v>
      </c>
      <c r="K120" s="54">
        <f>IFERROR(VLOOKUP($A120,'Dietary Sample'!$A:$AM,35,FALSE)/VLOOKUP($A120,'Dietary Sample'!$A:$AM,18,FALSE),0)</f>
        <v>0.46153846153846156</v>
      </c>
      <c r="L120" s="55">
        <v>1.4158143194335169</v>
      </c>
      <c r="M120" s="52">
        <f>IFERROR(VLOOKUP($A120,'Dietary Sample'!$A:$AA,23,FALSE),0)</f>
        <v>0</v>
      </c>
      <c r="N120" s="52">
        <f>IFERROR(VLOOKUP($A120,'Dietary Sample'!$A:$AA,22,FALSE),0)</f>
        <v>0</v>
      </c>
      <c r="O120" s="56">
        <f>IFERROR(VLOOKUP($A120,'Dietary Sample'!$A:$AM,30,FALSE)/VLOOKUP($A120,'Dietary Sample'!$A:$AM,17,FALSE),0)</f>
        <v>0</v>
      </c>
      <c r="P120" s="55">
        <v>0</v>
      </c>
      <c r="Q120" s="52">
        <f>IFERROR(VLOOKUP($A120,'Housekeeping Sample'!$A:$O,15,FALSE),0)</f>
        <v>16.244999999999997</v>
      </c>
      <c r="R120" s="52">
        <f>IFERROR(VLOOKUP($A120,'Housekeeping Sample'!$A:$O,14,FALSE),0)</f>
        <v>16.265000000000001</v>
      </c>
      <c r="S120" s="56">
        <f>IFERROR(VLOOKUP($A120,'Housekeeping Sample'!$A:$P,16,FALSE)/VLOOKUP($A120,'Housekeeping Sample'!$A:$P,11,FALSE),0)</f>
        <v>0.5</v>
      </c>
      <c r="T120" s="55">
        <v>1.1490952006294257</v>
      </c>
      <c r="U120" s="52">
        <f>IFERROR(VLOOKUP($A120,'Activities Sample'!$A:$M,13,FALSE),0)</f>
        <v>15.02</v>
      </c>
      <c r="V120" s="52">
        <f>IFERROR(VLOOKUP($A120,'Activities Sample'!$A:$M,12,FALSE),0)</f>
        <v>14.864999999999998</v>
      </c>
      <c r="W120" s="56">
        <f>IFERROR(VLOOKUP($A120,'Activities Sample'!$A:$O,15,FALSE)/VLOOKUP($A120,'Activities Sample'!$A:$O,9,FALSE),0)</f>
        <v>0.5</v>
      </c>
      <c r="X120" s="55">
        <v>0.65984788880146861</v>
      </c>
    </row>
    <row r="121" spans="1:24" s="57" customFormat="1" x14ac:dyDescent="0.55000000000000004">
      <c r="A121" s="50">
        <v>852</v>
      </c>
      <c r="B121" s="51">
        <v>2</v>
      </c>
      <c r="C121" s="51" t="s">
        <v>39</v>
      </c>
      <c r="D121" s="51" t="s">
        <v>40</v>
      </c>
      <c r="E121" s="52">
        <f>IFERROR(VLOOKUP($A121,'CNA Sample'!$A:$M,13,FALSE),0)</f>
        <v>21.120322580645169</v>
      </c>
      <c r="F121" s="53">
        <f>IFERROR(VLOOKUP($A121,'CNA Sample'!$A:$M,12,FALSE),0)</f>
        <v>20.48</v>
      </c>
      <c r="G121" s="54">
        <f>IFERROR(VLOOKUP($A121,'CNA Sample'!$A:$O,15,FALSE)/VLOOKUP($A121,'CNA Sample'!$A:$O,9,FALSE),0)</f>
        <v>0.74193548387096775</v>
      </c>
      <c r="H121" s="55">
        <v>2.517804221948662</v>
      </c>
      <c r="I121" s="52">
        <f>IFERROR(VLOOKUP($A121,'Dietary Sample'!$A:$AA,27,FALSE),0)</f>
        <v>21.75</v>
      </c>
      <c r="J121" s="52">
        <f>IFERROR(VLOOKUP($A121,'Dietary Sample'!$A:$AA,26,FALSE),0)</f>
        <v>21.75</v>
      </c>
      <c r="K121" s="54">
        <f>IFERROR(VLOOKUP($A121,'Dietary Sample'!$A:$AM,35,FALSE)/VLOOKUP($A121,'Dietary Sample'!$A:$AM,18,FALSE),0)</f>
        <v>0</v>
      </c>
      <c r="L121" s="55">
        <v>7.795559203027401E-2</v>
      </c>
      <c r="M121" s="52">
        <f>IFERROR(VLOOKUP($A121,'Dietary Sample'!$A:$AA,23,FALSE),0)</f>
        <v>15.114285714285714</v>
      </c>
      <c r="N121" s="52">
        <f>IFERROR(VLOOKUP($A121,'Dietary Sample'!$A:$AA,22,FALSE),0)</f>
        <v>15</v>
      </c>
      <c r="O121" s="56">
        <f>IFERROR(VLOOKUP($A121,'Dietary Sample'!$A:$AM,30,FALSE)/VLOOKUP($A121,'Dietary Sample'!$A:$AM,17,FALSE),0)</f>
        <v>0</v>
      </c>
      <c r="P121" s="55">
        <v>1.0913782884238363</v>
      </c>
      <c r="Q121" s="52">
        <f>IFERROR(VLOOKUP($A121,'Housekeeping Sample'!$A:$O,15,FALSE),0)</f>
        <v>15.3</v>
      </c>
      <c r="R121" s="52">
        <f>IFERROR(VLOOKUP($A121,'Housekeeping Sample'!$A:$O,14,FALSE),0)</f>
        <v>15.3</v>
      </c>
      <c r="S121" s="56">
        <f>IFERROR(VLOOKUP($A121,'Housekeeping Sample'!$A:$P,16,FALSE)/VLOOKUP($A121,'Housekeeping Sample'!$A:$P,11,FALSE),0)</f>
        <v>0</v>
      </c>
      <c r="T121" s="55">
        <v>0.37473213878630374</v>
      </c>
      <c r="U121" s="52">
        <f>IFERROR(VLOOKUP($A121,'Activities Sample'!$A:$M,13,FALSE),0)</f>
        <v>19.006666666666668</v>
      </c>
      <c r="V121" s="52">
        <f>IFERROR(VLOOKUP($A121,'Activities Sample'!$A:$M,12,FALSE),0)</f>
        <v>19.96</v>
      </c>
      <c r="W121" s="56">
        <f>IFERROR(VLOOKUP($A121,'Activities Sample'!$A:$O,15,FALSE)/VLOOKUP($A121,'Activities Sample'!$A:$O,9,FALSE),0)</f>
        <v>0.33333333333333331</v>
      </c>
      <c r="X121" s="55">
        <v>0.55879268681894867</v>
      </c>
    </row>
    <row r="122" spans="1:24" s="57" customFormat="1" x14ac:dyDescent="0.55000000000000004">
      <c r="A122" s="50">
        <v>861</v>
      </c>
      <c r="B122" s="51">
        <v>3</v>
      </c>
      <c r="C122" s="51" t="s">
        <v>37</v>
      </c>
      <c r="D122" s="51" t="s">
        <v>40</v>
      </c>
      <c r="E122" s="52">
        <f>IFERROR(VLOOKUP($A122,'CNA Sample'!$A:$M,13,FALSE),0)</f>
        <v>23.449838709677412</v>
      </c>
      <c r="F122" s="53">
        <f>IFERROR(VLOOKUP($A122,'CNA Sample'!$A:$M,12,FALSE),0)</f>
        <v>24.759999999999998</v>
      </c>
      <c r="G122" s="54">
        <f>IFERROR(VLOOKUP($A122,'CNA Sample'!$A:$O,15,FALSE)/VLOOKUP($A122,'CNA Sample'!$A:$O,9,FALSE),0)</f>
        <v>0.40322580645161288</v>
      </c>
      <c r="H122" s="55">
        <v>1.6963704427083333</v>
      </c>
      <c r="I122" s="52">
        <f>IFERROR(VLOOKUP($A122,'Dietary Sample'!$A:$AA,27,FALSE),0)</f>
        <v>23.815999999999999</v>
      </c>
      <c r="J122" s="52">
        <f>IFERROR(VLOOKUP($A122,'Dietary Sample'!$A:$AA,26,FALSE),0)</f>
        <v>24.72</v>
      </c>
      <c r="K122" s="54">
        <f>IFERROR(VLOOKUP($A122,'Dietary Sample'!$A:$AM,35,FALSE)/VLOOKUP($A122,'Dietary Sample'!$A:$AM,18,FALSE),0)</f>
        <v>0.2</v>
      </c>
      <c r="L122" s="55">
        <v>0.2176393108603395</v>
      </c>
      <c r="M122" s="52">
        <f>IFERROR(VLOOKUP($A122,'Dietary Sample'!$A:$AA,23,FALSE),0)</f>
        <v>16.773846153846154</v>
      </c>
      <c r="N122" s="52">
        <f>IFERROR(VLOOKUP($A122,'Dietary Sample'!$A:$AA,22,FALSE),0)</f>
        <v>17.03</v>
      </c>
      <c r="O122" s="56">
        <f>IFERROR(VLOOKUP($A122,'Dietary Sample'!$A:$AM,30,FALSE)/VLOOKUP($A122,'Dietary Sample'!$A:$AM,17,FALSE),0)</f>
        <v>0.46153846153846156</v>
      </c>
      <c r="P122" s="55">
        <v>0.56586220823688271</v>
      </c>
      <c r="Q122" s="52">
        <f>IFERROR(VLOOKUP($A122,'Housekeeping Sample'!$A:$O,15,FALSE),0)</f>
        <v>17.53875</v>
      </c>
      <c r="R122" s="52">
        <f>IFERROR(VLOOKUP($A122,'Housekeeping Sample'!$A:$O,14,FALSE),0)</f>
        <v>17.295000000000002</v>
      </c>
      <c r="S122" s="56">
        <f>IFERROR(VLOOKUP($A122,'Housekeeping Sample'!$A:$P,16,FALSE)/VLOOKUP($A122,'Housekeeping Sample'!$A:$P,11,FALSE),0)</f>
        <v>0.5</v>
      </c>
      <c r="T122" s="55">
        <v>0.26171875</v>
      </c>
      <c r="U122" s="52">
        <f>IFERROR(VLOOKUP($A122,'Activities Sample'!$A:$M,13,FALSE),0)</f>
        <v>19.693333333333332</v>
      </c>
      <c r="V122" s="52">
        <f>IFERROR(VLOOKUP($A122,'Activities Sample'!$A:$M,12,FALSE),0)</f>
        <v>20</v>
      </c>
      <c r="W122" s="56">
        <f>IFERROR(VLOOKUP($A122,'Activities Sample'!$A:$O,15,FALSE)/VLOOKUP($A122,'Activities Sample'!$A:$O,9,FALSE),0)</f>
        <v>0.33333333333333331</v>
      </c>
      <c r="X122" s="55">
        <v>0.20429144965277779</v>
      </c>
    </row>
    <row r="123" spans="1:24" s="57" customFormat="1" x14ac:dyDescent="0.55000000000000004">
      <c r="A123" s="50">
        <v>883</v>
      </c>
      <c r="B123" s="51">
        <v>2</v>
      </c>
      <c r="C123" s="51" t="s">
        <v>39</v>
      </c>
      <c r="D123" s="51" t="s">
        <v>40</v>
      </c>
      <c r="E123" s="52">
        <f>IFERROR(VLOOKUP($A123,'CNA Sample'!$A:$M,13,FALSE),0)</f>
        <v>0</v>
      </c>
      <c r="F123" s="53">
        <f>IFERROR(VLOOKUP($A123,'CNA Sample'!$A:$M,12,FALSE),0)</f>
        <v>0</v>
      </c>
      <c r="G123" s="54">
        <f>IFERROR(VLOOKUP($A123,'CNA Sample'!$A:$O,15,FALSE)/VLOOKUP($A123,'CNA Sample'!$A:$O,9,FALSE),0)</f>
        <v>0</v>
      </c>
      <c r="H123" s="55">
        <v>0</v>
      </c>
      <c r="I123" s="52">
        <f>IFERROR(VLOOKUP($A123,'Dietary Sample'!$A:$AA,27,FALSE),0)</f>
        <v>22.521428571428572</v>
      </c>
      <c r="J123" s="52">
        <f>IFERROR(VLOOKUP($A123,'Dietary Sample'!$A:$AA,26,FALSE),0)</f>
        <v>22.115000000000002</v>
      </c>
      <c r="K123" s="54">
        <f>IFERROR(VLOOKUP($A123,'Dietary Sample'!$A:$AM,35,FALSE)/VLOOKUP($A123,'Dietary Sample'!$A:$AM,18,FALSE),0)</f>
        <v>0.5</v>
      </c>
      <c r="L123" s="55">
        <v>0.62556208223617571</v>
      </c>
      <c r="M123" s="52">
        <f>IFERROR(VLOOKUP($A123,'Dietary Sample'!$A:$AA,23,FALSE),0)</f>
        <v>19.331666666666667</v>
      </c>
      <c r="N123" s="52">
        <f>IFERROR(VLOOKUP($A123,'Dietary Sample'!$A:$AA,22,FALSE),0)</f>
        <v>18.465</v>
      </c>
      <c r="O123" s="56">
        <f>IFERROR(VLOOKUP($A123,'Dietary Sample'!$A:$AM,30,FALSE)/VLOOKUP($A123,'Dietary Sample'!$A:$AM,17,FALSE),0)</f>
        <v>0.5</v>
      </c>
      <c r="P123" s="55">
        <v>0.26809803524407533</v>
      </c>
      <c r="Q123" s="52">
        <f>IFERROR(VLOOKUP($A123,'Housekeeping Sample'!$A:$O,15,FALSE),0)</f>
        <v>0</v>
      </c>
      <c r="R123" s="52">
        <f>IFERROR(VLOOKUP($A123,'Housekeeping Sample'!$A:$O,14,FALSE),0)</f>
        <v>0</v>
      </c>
      <c r="S123" s="56">
        <f>IFERROR(VLOOKUP($A123,'Housekeeping Sample'!$A:$P,16,FALSE)/VLOOKUP($A123,'Housekeeping Sample'!$A:$P,11,FALSE),0)</f>
        <v>0</v>
      </c>
      <c r="T123" s="55">
        <v>0</v>
      </c>
      <c r="U123" s="52">
        <f>IFERROR(VLOOKUP($A123,'Activities Sample'!$A:$M,13,FALSE),0)</f>
        <v>0</v>
      </c>
      <c r="V123" s="52">
        <f>IFERROR(VLOOKUP($A123,'Activities Sample'!$A:$M,12,FALSE),0)</f>
        <v>0</v>
      </c>
      <c r="W123" s="56">
        <f>IFERROR(VLOOKUP($A123,'Activities Sample'!$A:$O,15,FALSE)/VLOOKUP($A123,'Activities Sample'!$A:$O,9,FALSE),0)</f>
        <v>0</v>
      </c>
      <c r="X123" s="55">
        <v>0</v>
      </c>
    </row>
    <row r="124" spans="1:24" s="57" customFormat="1" x14ac:dyDescent="0.55000000000000004">
      <c r="A124" s="50">
        <v>901</v>
      </c>
      <c r="B124" s="51">
        <v>3</v>
      </c>
      <c r="C124" s="51" t="s">
        <v>47</v>
      </c>
      <c r="D124" s="51" t="s">
        <v>45</v>
      </c>
      <c r="E124" s="52">
        <f>IFERROR(VLOOKUP($A124,'CNA Sample'!$A:$M,13,FALSE),0)</f>
        <v>18.809000000000005</v>
      </c>
      <c r="F124" s="53">
        <f>IFERROR(VLOOKUP($A124,'CNA Sample'!$A:$M,12,FALSE),0)</f>
        <v>18.12</v>
      </c>
      <c r="G124" s="54">
        <f>IFERROR(VLOOKUP($A124,'CNA Sample'!$A:$O,15,FALSE)/VLOOKUP($A124,'CNA Sample'!$A:$O,9,FALSE),0)</f>
        <v>0.7</v>
      </c>
      <c r="H124" s="55">
        <v>2.1028598894496517</v>
      </c>
      <c r="I124" s="52">
        <f>IFERROR(VLOOKUP($A124,'Dietary Sample'!$A:$AA,27,FALSE),0)</f>
        <v>17.673333333333336</v>
      </c>
      <c r="J124" s="52">
        <f>IFERROR(VLOOKUP($A124,'Dietary Sample'!$A:$AA,26,FALSE),0)</f>
        <v>18.059999999999999</v>
      </c>
      <c r="K124" s="54">
        <f>IFERROR(VLOOKUP($A124,'Dietary Sample'!$A:$AM,35,FALSE)/VLOOKUP($A124,'Dietary Sample'!$A:$AM,18,FALSE),0)</f>
        <v>0.33333333333333331</v>
      </c>
      <c r="L124" s="55">
        <v>0.20758231194424417</v>
      </c>
      <c r="M124" s="52">
        <f>IFERROR(VLOOKUP($A124,'Dietary Sample'!$A:$AA,23,FALSE),0)</f>
        <v>16.701999999999998</v>
      </c>
      <c r="N124" s="52">
        <f>IFERROR(VLOOKUP($A124,'Dietary Sample'!$A:$AA,22,FALSE),0)</f>
        <v>16.72</v>
      </c>
      <c r="O124" s="56">
        <f>IFERROR(VLOOKUP($A124,'Dietary Sample'!$A:$AM,30,FALSE)/VLOOKUP($A124,'Dietary Sample'!$A:$AM,17,FALSE),0)</f>
        <v>0.2</v>
      </c>
      <c r="P124" s="55">
        <v>0.34597051990707361</v>
      </c>
      <c r="Q124" s="52">
        <f>IFERROR(VLOOKUP($A124,'Housekeeping Sample'!$A:$O,15,FALSE),0)</f>
        <v>0</v>
      </c>
      <c r="R124" s="52">
        <f>IFERROR(VLOOKUP($A124,'Housekeeping Sample'!$A:$O,14,FALSE),0)</f>
        <v>0</v>
      </c>
      <c r="S124" s="56">
        <f>IFERROR(VLOOKUP($A124,'Housekeeping Sample'!$A:$P,16,FALSE)/VLOOKUP($A124,'Housekeeping Sample'!$A:$P,11,FALSE),0)</f>
        <v>0</v>
      </c>
      <c r="T124" s="55">
        <v>0</v>
      </c>
      <c r="U124" s="52">
        <f>IFERROR(VLOOKUP($A124,'Activities Sample'!$A:$M,13,FALSE),0)</f>
        <v>16.25</v>
      </c>
      <c r="V124" s="52">
        <f>IFERROR(VLOOKUP($A124,'Activities Sample'!$A:$M,12,FALSE),0)</f>
        <v>16.25</v>
      </c>
      <c r="W124" s="56">
        <f>IFERROR(VLOOKUP($A124,'Activities Sample'!$A:$O,15,FALSE)/VLOOKUP($A124,'Activities Sample'!$A:$O,9,FALSE),0)</f>
        <v>0</v>
      </c>
      <c r="X124" s="55">
        <v>0.24513338139870222</v>
      </c>
    </row>
    <row r="125" spans="1:24" s="57" customFormat="1" x14ac:dyDescent="0.55000000000000004">
      <c r="A125" s="50">
        <v>902</v>
      </c>
      <c r="B125" s="51">
        <v>3</v>
      </c>
      <c r="C125" s="51" t="s">
        <v>37</v>
      </c>
      <c r="D125" s="51" t="s">
        <v>45</v>
      </c>
      <c r="E125" s="52">
        <f>IFERROR(VLOOKUP($A125,'CNA Sample'!$A:$M,13,FALSE),0)</f>
        <v>0</v>
      </c>
      <c r="F125" s="53">
        <f>IFERROR(VLOOKUP($A125,'CNA Sample'!$A:$M,12,FALSE),0)</f>
        <v>0</v>
      </c>
      <c r="G125" s="54">
        <f>IFERROR(VLOOKUP($A125,'CNA Sample'!$A:$O,15,FALSE)/VLOOKUP($A125,'CNA Sample'!$A:$O,9,FALSE),0)</f>
        <v>0</v>
      </c>
      <c r="H125" s="55">
        <v>0</v>
      </c>
      <c r="I125" s="52">
        <f>IFERROR(VLOOKUP($A125,'Dietary Sample'!$A:$AA,27,FALSE),0)</f>
        <v>0</v>
      </c>
      <c r="J125" s="52">
        <f>IFERROR(VLOOKUP($A125,'Dietary Sample'!$A:$AA,26,FALSE),0)</f>
        <v>0</v>
      </c>
      <c r="K125" s="54">
        <f>IFERROR(VLOOKUP($A125,'Dietary Sample'!$A:$AM,35,FALSE)/VLOOKUP($A125,'Dietary Sample'!$A:$AM,18,FALSE),0)</f>
        <v>0</v>
      </c>
      <c r="L125" s="55">
        <v>0</v>
      </c>
      <c r="M125" s="52">
        <f>IFERROR(VLOOKUP($A125,'Dietary Sample'!$A:$AA,23,FALSE),0)</f>
        <v>0</v>
      </c>
      <c r="N125" s="52">
        <f>IFERROR(VLOOKUP($A125,'Dietary Sample'!$A:$AA,22,FALSE),0)</f>
        <v>0</v>
      </c>
      <c r="O125" s="56">
        <f>IFERROR(VLOOKUP($A125,'Dietary Sample'!$A:$AM,30,FALSE)/VLOOKUP($A125,'Dietary Sample'!$A:$AM,17,FALSE),0)</f>
        <v>0</v>
      </c>
      <c r="P125" s="55">
        <v>0</v>
      </c>
      <c r="Q125" s="52">
        <f>IFERROR(VLOOKUP($A125,'Housekeeping Sample'!$A:$O,15,FALSE),0)</f>
        <v>15.927777777777777</v>
      </c>
      <c r="R125" s="52">
        <f>IFERROR(VLOOKUP($A125,'Housekeeping Sample'!$A:$O,14,FALSE),0)</f>
        <v>15.38</v>
      </c>
      <c r="S125" s="56">
        <f>IFERROR(VLOOKUP($A125,'Housekeeping Sample'!$A:$P,16,FALSE)/VLOOKUP($A125,'Housekeeping Sample'!$A:$P,11,FALSE),0)</f>
        <v>0.44444444444444442</v>
      </c>
      <c r="T125" s="55">
        <v>0.48750938502491298</v>
      </c>
      <c r="U125" s="52">
        <f>IFERROR(VLOOKUP($A125,'Activities Sample'!$A:$M,13,FALSE),0)</f>
        <v>20.399999999999999</v>
      </c>
      <c r="V125" s="52">
        <f>IFERROR(VLOOKUP($A125,'Activities Sample'!$A:$M,12,FALSE),0)</f>
        <v>20.399999999999999</v>
      </c>
      <c r="W125" s="56">
        <f>IFERROR(VLOOKUP($A125,'Activities Sample'!$A:$O,15,FALSE)/VLOOKUP($A125,'Activities Sample'!$A:$O,9,FALSE),0)</f>
        <v>0.5</v>
      </c>
      <c r="X125" s="55">
        <v>0.26759265579141356</v>
      </c>
    </row>
    <row r="126" spans="1:24" s="57" customFormat="1" x14ac:dyDescent="0.55000000000000004">
      <c r="A126" s="50">
        <v>910</v>
      </c>
      <c r="B126" s="51">
        <v>3</v>
      </c>
      <c r="C126" s="51" t="s">
        <v>47</v>
      </c>
      <c r="D126" s="51" t="s">
        <v>40</v>
      </c>
      <c r="E126" s="52">
        <f>IFERROR(VLOOKUP($A126,'CNA Sample'!$A:$M,13,FALSE),0)</f>
        <v>20.825201082034312</v>
      </c>
      <c r="F126" s="53">
        <f>IFERROR(VLOOKUP($A126,'CNA Sample'!$A:$M,12,FALSE),0)</f>
        <v>19.770172280330303</v>
      </c>
      <c r="G126" s="54">
        <f>IFERROR(VLOOKUP($A126,'CNA Sample'!$A:$O,15,FALSE)/VLOOKUP($A126,'CNA Sample'!$A:$O,9,FALSE),0)</f>
        <v>0.5957446808510638</v>
      </c>
      <c r="H126" s="55">
        <v>2.1030721415336799</v>
      </c>
      <c r="I126" s="52">
        <f>IFERROR(VLOOKUP($A126,'Dietary Sample'!$A:$AA,27,FALSE),0)</f>
        <v>18.496033652077355</v>
      </c>
      <c r="J126" s="52">
        <f>IFERROR(VLOOKUP($A126,'Dietary Sample'!$A:$AA,26,FALSE),0)</f>
        <v>18.65763476755863</v>
      </c>
      <c r="K126" s="54">
        <f>IFERROR(VLOOKUP($A126,'Dietary Sample'!$A:$AM,35,FALSE)/VLOOKUP($A126,'Dietary Sample'!$A:$AM,18,FALSE),0)</f>
        <v>0.5</v>
      </c>
      <c r="L126" s="55">
        <v>0.79524147900216269</v>
      </c>
      <c r="M126" s="52">
        <f>IFERROR(VLOOKUP($A126,'Dietary Sample'!$A:$AA,23,FALSE),0)</f>
        <v>16.076287064037519</v>
      </c>
      <c r="N126" s="52">
        <f>IFERROR(VLOOKUP($A126,'Dietary Sample'!$A:$AA,22,FALSE),0)</f>
        <v>15.994930666283611</v>
      </c>
      <c r="O126" s="56">
        <f>IFERROR(VLOOKUP($A126,'Dietary Sample'!$A:$AM,30,FALSE)/VLOOKUP($A126,'Dietary Sample'!$A:$AM,17,FALSE),0)</f>
        <v>0.46153846153846156</v>
      </c>
      <c r="P126" s="55">
        <v>0.73843851621629397</v>
      </c>
      <c r="Q126" s="52">
        <f>IFERROR(VLOOKUP($A126,'Housekeeping Sample'!$A:$O,15,FALSE),0)</f>
        <v>15.975191759067375</v>
      </c>
      <c r="R126" s="52">
        <f>IFERROR(VLOOKUP($A126,'Housekeeping Sample'!$A:$O,14,FALSE),0)</f>
        <v>16.682646008980548</v>
      </c>
      <c r="S126" s="56">
        <f>IFERROR(VLOOKUP($A126,'Housekeeping Sample'!$A:$P,16,FALSE)/VLOOKUP($A126,'Housekeeping Sample'!$A:$P,11,FALSE),0)</f>
        <v>0.5</v>
      </c>
      <c r="T126" s="55">
        <v>0.42552746398900243</v>
      </c>
      <c r="U126" s="52">
        <f>IFERROR(VLOOKUP($A126,'Activities Sample'!$A:$M,13,FALSE),0)</f>
        <v>0</v>
      </c>
      <c r="V126" s="52">
        <f>IFERROR(VLOOKUP($A126,'Activities Sample'!$A:$M,12,FALSE),0)</f>
        <v>0</v>
      </c>
      <c r="W126" s="56">
        <f>IFERROR(VLOOKUP($A126,'Activities Sample'!$A:$O,15,FALSE)/VLOOKUP($A126,'Activities Sample'!$A:$O,9,FALSE),0)</f>
        <v>0</v>
      </c>
      <c r="X126" s="55">
        <v>0</v>
      </c>
    </row>
    <row r="127" spans="1:24" s="57" customFormat="1" x14ac:dyDescent="0.55000000000000004">
      <c r="A127" s="50">
        <v>912</v>
      </c>
      <c r="B127" s="51">
        <v>3</v>
      </c>
      <c r="C127" s="51" t="s">
        <v>37</v>
      </c>
      <c r="D127" s="51" t="s">
        <v>38</v>
      </c>
      <c r="E127" s="52">
        <f>IFERROR(VLOOKUP($A127,'CNA Sample'!$A:$M,13,FALSE),0)</f>
        <v>0</v>
      </c>
      <c r="F127" s="53">
        <f>IFERROR(VLOOKUP($A127,'CNA Sample'!$A:$M,12,FALSE),0)</f>
        <v>0</v>
      </c>
      <c r="G127" s="54">
        <f>IFERROR(VLOOKUP($A127,'CNA Sample'!$A:$O,15,FALSE)/VLOOKUP($A127,'CNA Sample'!$A:$O,9,FALSE),0)</f>
        <v>0</v>
      </c>
      <c r="H127" s="55">
        <v>0</v>
      </c>
      <c r="I127" s="52">
        <f>IFERROR(VLOOKUP($A127,'Dietary Sample'!$A:$AA,27,FALSE),0)</f>
        <v>0</v>
      </c>
      <c r="J127" s="52">
        <f>IFERROR(VLOOKUP($A127,'Dietary Sample'!$A:$AA,26,FALSE),0)</f>
        <v>0</v>
      </c>
      <c r="K127" s="54">
        <f>IFERROR(VLOOKUP($A127,'Dietary Sample'!$A:$AM,35,FALSE)/VLOOKUP($A127,'Dietary Sample'!$A:$AM,18,FALSE),0)</f>
        <v>0</v>
      </c>
      <c r="L127" s="55">
        <v>0</v>
      </c>
      <c r="M127" s="52">
        <f>IFERROR(VLOOKUP($A127,'Dietary Sample'!$A:$AA,23,FALSE),0)</f>
        <v>0</v>
      </c>
      <c r="N127" s="52">
        <f>IFERROR(VLOOKUP($A127,'Dietary Sample'!$A:$AA,22,FALSE),0)</f>
        <v>0</v>
      </c>
      <c r="O127" s="56">
        <f>IFERROR(VLOOKUP($A127,'Dietary Sample'!$A:$AM,30,FALSE)/VLOOKUP($A127,'Dietary Sample'!$A:$AM,17,FALSE),0)</f>
        <v>0</v>
      </c>
      <c r="P127" s="55">
        <v>0</v>
      </c>
      <c r="Q127" s="52">
        <f>IFERROR(VLOOKUP($A127,'Housekeeping Sample'!$A:$O,15,FALSE),0)</f>
        <v>0</v>
      </c>
      <c r="R127" s="52">
        <f>IFERROR(VLOOKUP($A127,'Housekeeping Sample'!$A:$O,14,FALSE),0)</f>
        <v>0</v>
      </c>
      <c r="S127" s="56">
        <f>IFERROR(VLOOKUP($A127,'Housekeeping Sample'!$A:$P,16,FALSE)/VLOOKUP($A127,'Housekeeping Sample'!$A:$P,11,FALSE),0)</f>
        <v>0</v>
      </c>
      <c r="T127" s="55">
        <v>0</v>
      </c>
      <c r="U127" s="52">
        <f>IFERROR(VLOOKUP($A127,'Activities Sample'!$A:$M,13,FALSE),0)</f>
        <v>18.12</v>
      </c>
      <c r="V127" s="52">
        <f>IFERROR(VLOOKUP($A127,'Activities Sample'!$A:$M,12,FALSE),0)</f>
        <v>16.79</v>
      </c>
      <c r="W127" s="56">
        <f>IFERROR(VLOOKUP($A127,'Activities Sample'!$A:$O,15,FALSE)/VLOOKUP($A127,'Activities Sample'!$A:$O,9,FALSE),0)</f>
        <v>0.66666666666666663</v>
      </c>
      <c r="X127" s="55">
        <v>0.25566069184809087</v>
      </c>
    </row>
    <row r="128" spans="1:24" s="57" customFormat="1" x14ac:dyDescent="0.55000000000000004">
      <c r="A128" s="50">
        <v>916</v>
      </c>
      <c r="B128" s="51">
        <v>3</v>
      </c>
      <c r="C128" s="51" t="s">
        <v>37</v>
      </c>
      <c r="D128" s="51" t="s">
        <v>45</v>
      </c>
      <c r="E128" s="52">
        <f>IFERROR(VLOOKUP($A128,'CNA Sample'!$A:$M,13,FALSE),0)</f>
        <v>0</v>
      </c>
      <c r="F128" s="53">
        <f>IFERROR(VLOOKUP($A128,'CNA Sample'!$A:$M,12,FALSE),0)</f>
        <v>0</v>
      </c>
      <c r="G128" s="54">
        <f>IFERROR(VLOOKUP($A128,'CNA Sample'!$A:$O,15,FALSE)/VLOOKUP($A128,'CNA Sample'!$A:$O,9,FALSE),0)</f>
        <v>0</v>
      </c>
      <c r="H128" s="55">
        <v>0</v>
      </c>
      <c r="I128" s="52">
        <f>IFERROR(VLOOKUP($A128,'Dietary Sample'!$A:$AA,27,FALSE),0)</f>
        <v>0</v>
      </c>
      <c r="J128" s="52">
        <f>IFERROR(VLOOKUP($A128,'Dietary Sample'!$A:$AA,26,FALSE),0)</f>
        <v>0</v>
      </c>
      <c r="K128" s="54">
        <f>IFERROR(VLOOKUP($A128,'Dietary Sample'!$A:$AM,35,FALSE)/VLOOKUP($A128,'Dietary Sample'!$A:$AM,18,FALSE),0)</f>
        <v>0</v>
      </c>
      <c r="L128" s="55">
        <v>0</v>
      </c>
      <c r="M128" s="52">
        <f>IFERROR(VLOOKUP($A128,'Dietary Sample'!$A:$AA,23,FALSE),0)</f>
        <v>0</v>
      </c>
      <c r="N128" s="52">
        <f>IFERROR(VLOOKUP($A128,'Dietary Sample'!$A:$AA,22,FALSE),0)</f>
        <v>0</v>
      </c>
      <c r="O128" s="56">
        <f>IFERROR(VLOOKUP($A128,'Dietary Sample'!$A:$AM,30,FALSE)/VLOOKUP($A128,'Dietary Sample'!$A:$AM,17,FALSE),0)</f>
        <v>0</v>
      </c>
      <c r="P128" s="55">
        <v>0</v>
      </c>
      <c r="Q128" s="52">
        <f>IFERROR(VLOOKUP($A128,'Housekeeping Sample'!$A:$O,15,FALSE),0)</f>
        <v>16.406999999999996</v>
      </c>
      <c r="R128" s="52">
        <f>IFERROR(VLOOKUP($A128,'Housekeeping Sample'!$A:$O,14,FALSE),0)</f>
        <v>16.5</v>
      </c>
      <c r="S128" s="56">
        <f>IFERROR(VLOOKUP($A128,'Housekeeping Sample'!$A:$P,16,FALSE)/VLOOKUP($A128,'Housekeeping Sample'!$A:$P,11,FALSE),0)</f>
        <v>0.35</v>
      </c>
      <c r="T128" s="55">
        <v>0.53434468757049403</v>
      </c>
      <c r="U128" s="52">
        <f>IFERROR(VLOOKUP($A128,'Activities Sample'!$A:$M,13,FALSE),0)</f>
        <v>19.563333333333333</v>
      </c>
      <c r="V128" s="52">
        <f>IFERROR(VLOOKUP($A128,'Activities Sample'!$A:$M,12,FALSE),0)</f>
        <v>18.799999999999997</v>
      </c>
      <c r="W128" s="56">
        <f>IFERROR(VLOOKUP($A128,'Activities Sample'!$A:$O,15,FALSE)/VLOOKUP($A128,'Activities Sample'!$A:$O,9,FALSE),0)</f>
        <v>0.5</v>
      </c>
      <c r="X128" s="55">
        <v>0.16234303331077524</v>
      </c>
    </row>
    <row r="129" spans="1:24" s="57" customFormat="1" x14ac:dyDescent="0.55000000000000004">
      <c r="A129" s="50">
        <v>926</v>
      </c>
      <c r="B129" s="51">
        <v>3</v>
      </c>
      <c r="C129" s="51" t="s">
        <v>37</v>
      </c>
      <c r="D129" s="51" t="s">
        <v>38</v>
      </c>
      <c r="E129" s="52">
        <f>IFERROR(VLOOKUP($A129,'CNA Sample'!$A:$M,13,FALSE),0)</f>
        <v>18.867027027027024</v>
      </c>
      <c r="F129" s="53">
        <f>IFERROR(VLOOKUP($A129,'CNA Sample'!$A:$M,12,FALSE),0)</f>
        <v>18.79</v>
      </c>
      <c r="G129" s="54">
        <f>IFERROR(VLOOKUP($A129,'CNA Sample'!$A:$O,15,FALSE)/VLOOKUP($A129,'CNA Sample'!$A:$O,9,FALSE),0)</f>
        <v>0.59459459459459463</v>
      </c>
      <c r="H129" s="55">
        <v>2.4230544605051834</v>
      </c>
      <c r="I129" s="52">
        <f>IFERROR(VLOOKUP($A129,'Dietary Sample'!$A:$AA,27,FALSE),0)</f>
        <v>21.164999999999999</v>
      </c>
      <c r="J129" s="52">
        <f>IFERROR(VLOOKUP($A129,'Dietary Sample'!$A:$AA,26,FALSE),0)</f>
        <v>21.04</v>
      </c>
      <c r="K129" s="54">
        <f>IFERROR(VLOOKUP($A129,'Dietary Sample'!$A:$AM,35,FALSE)/VLOOKUP($A129,'Dietary Sample'!$A:$AM,18,FALSE),0)</f>
        <v>0.5</v>
      </c>
      <c r="L129" s="55">
        <v>0.28808747424603753</v>
      </c>
      <c r="M129" s="52">
        <f>IFERROR(VLOOKUP($A129,'Dietary Sample'!$A:$AA,23,FALSE),0)</f>
        <v>16.533999999999999</v>
      </c>
      <c r="N129" s="52">
        <f>IFERROR(VLOOKUP($A129,'Dietary Sample'!$A:$AA,22,FALSE),0)</f>
        <v>16.47</v>
      </c>
      <c r="O129" s="56">
        <f>IFERROR(VLOOKUP($A129,'Dietary Sample'!$A:$AM,30,FALSE)/VLOOKUP($A129,'Dietary Sample'!$A:$AM,17,FALSE),0)</f>
        <v>0.4</v>
      </c>
      <c r="P129" s="55">
        <v>0.36010934280754697</v>
      </c>
      <c r="Q129" s="52">
        <f>IFERROR(VLOOKUP($A129,'Housekeeping Sample'!$A:$O,15,FALSE),0)</f>
        <v>18.18888888888889</v>
      </c>
      <c r="R129" s="52">
        <f>IFERROR(VLOOKUP($A129,'Housekeeping Sample'!$A:$O,14,FALSE),0)</f>
        <v>17.12</v>
      </c>
      <c r="S129" s="56">
        <f>IFERROR(VLOOKUP($A129,'Housekeeping Sample'!$A:$P,16,FALSE)/VLOOKUP($A129,'Housekeeping Sample'!$A:$P,11,FALSE),0)</f>
        <v>0.33333333333333331</v>
      </c>
      <c r="T129" s="55">
        <v>0.79818221638195352</v>
      </c>
      <c r="U129" s="52">
        <f>IFERROR(VLOOKUP($A129,'Activities Sample'!$A:$M,13,FALSE),0)</f>
        <v>18.876666666666665</v>
      </c>
      <c r="V129" s="52">
        <f>IFERROR(VLOOKUP($A129,'Activities Sample'!$A:$M,12,FALSE),0)</f>
        <v>18</v>
      </c>
      <c r="W129" s="56">
        <f>IFERROR(VLOOKUP($A129,'Activities Sample'!$A:$O,15,FALSE)/VLOOKUP($A129,'Activities Sample'!$A:$O,9,FALSE),0)</f>
        <v>0.66666666666666663</v>
      </c>
      <c r="X129" s="55">
        <v>0.30431449846692948</v>
      </c>
    </row>
    <row r="130" spans="1:24" s="57" customFormat="1" x14ac:dyDescent="0.55000000000000004">
      <c r="A130" s="50">
        <v>928</v>
      </c>
      <c r="B130" s="51">
        <v>1</v>
      </c>
      <c r="C130" s="51" t="s">
        <v>48</v>
      </c>
      <c r="D130" s="51" t="s">
        <v>38</v>
      </c>
      <c r="E130" s="52">
        <f>IFERROR(VLOOKUP($A130,'CNA Sample'!$A:$M,13,FALSE),0)</f>
        <v>22.357999999999997</v>
      </c>
      <c r="F130" s="53">
        <f>IFERROR(VLOOKUP($A130,'CNA Sample'!$A:$M,12,FALSE),0)</f>
        <v>22.25</v>
      </c>
      <c r="G130" s="54">
        <f>IFERROR(VLOOKUP($A130,'CNA Sample'!$A:$O,15,FALSE)/VLOOKUP($A130,'CNA Sample'!$A:$O,9,FALSE),0)</f>
        <v>0.52</v>
      </c>
      <c r="H130" s="55">
        <v>2.6702198534310462</v>
      </c>
      <c r="I130" s="52">
        <f>IFERROR(VLOOKUP($A130,'Dietary Sample'!$A:$AA,27,FALSE),0)</f>
        <v>17.383333333333333</v>
      </c>
      <c r="J130" s="52">
        <f>IFERROR(VLOOKUP($A130,'Dietary Sample'!$A:$AA,26,FALSE),0)</f>
        <v>17</v>
      </c>
      <c r="K130" s="54">
        <f>IFERROR(VLOOKUP($A130,'Dietary Sample'!$A:$AM,35,FALSE)/VLOOKUP($A130,'Dietary Sample'!$A:$AM,18,FALSE),0)</f>
        <v>0.33333333333333331</v>
      </c>
      <c r="L130" s="55">
        <v>0.13544303797468354</v>
      </c>
      <c r="M130" s="52">
        <f>IFERROR(VLOOKUP($A130,'Dietary Sample'!$A:$AA,23,FALSE),0)</f>
        <v>11.875</v>
      </c>
      <c r="N130" s="52">
        <f>IFERROR(VLOOKUP($A130,'Dietary Sample'!$A:$AA,22,FALSE),0)</f>
        <v>11.375</v>
      </c>
      <c r="O130" s="56">
        <f>IFERROR(VLOOKUP($A130,'Dietary Sample'!$A:$AM,30,FALSE)/VLOOKUP($A130,'Dietary Sample'!$A:$AM,17,FALSE),0)</f>
        <v>0.5</v>
      </c>
      <c r="P130" s="55">
        <v>0.27088607594936709</v>
      </c>
      <c r="Q130" s="52">
        <f>IFERROR(VLOOKUP($A130,'Housekeeping Sample'!$A:$O,15,FALSE),0)</f>
        <v>15.083333333333334</v>
      </c>
      <c r="R130" s="52">
        <f>IFERROR(VLOOKUP($A130,'Housekeeping Sample'!$A:$O,14,FALSE),0)</f>
        <v>15</v>
      </c>
      <c r="S130" s="56">
        <f>IFERROR(VLOOKUP($A130,'Housekeeping Sample'!$A:$P,16,FALSE)/VLOOKUP($A130,'Housekeeping Sample'!$A:$P,11,FALSE),0)</f>
        <v>0.16666666666666666</v>
      </c>
      <c r="T130" s="55">
        <v>0.21345769487008662</v>
      </c>
      <c r="U130" s="52">
        <f>IFERROR(VLOOKUP($A130,'Activities Sample'!$A:$M,13,FALSE),0)</f>
        <v>16.625</v>
      </c>
      <c r="V130" s="52">
        <f>IFERROR(VLOOKUP($A130,'Activities Sample'!$A:$M,12,FALSE),0)</f>
        <v>16.625</v>
      </c>
      <c r="W130" s="56">
        <f>IFERROR(VLOOKUP($A130,'Activities Sample'!$A:$O,15,FALSE)/VLOOKUP($A130,'Activities Sample'!$A:$O,9,FALSE),0)</f>
        <v>0.5</v>
      </c>
      <c r="X130" s="55">
        <v>0.27455029980013324</v>
      </c>
    </row>
    <row r="131" spans="1:24" s="57" customFormat="1" x14ac:dyDescent="0.55000000000000004">
      <c r="A131" s="50">
        <v>937</v>
      </c>
      <c r="B131" s="51">
        <v>1</v>
      </c>
      <c r="C131" s="51" t="s">
        <v>53</v>
      </c>
      <c r="D131" s="51" t="s">
        <v>43</v>
      </c>
      <c r="E131" s="52">
        <f>IFERROR(VLOOKUP($A131,'CNA Sample'!$A:$M,13,FALSE),0)</f>
        <v>0</v>
      </c>
      <c r="F131" s="53">
        <f>IFERROR(VLOOKUP($A131,'CNA Sample'!$A:$M,12,FALSE),0)</f>
        <v>0</v>
      </c>
      <c r="G131" s="54">
        <f>IFERROR(VLOOKUP($A131,'CNA Sample'!$A:$O,15,FALSE)/VLOOKUP($A131,'CNA Sample'!$A:$O,9,FALSE),0)</f>
        <v>0</v>
      </c>
      <c r="H131" s="55">
        <v>0</v>
      </c>
      <c r="I131" s="52">
        <f>IFERROR(VLOOKUP($A131,'Dietary Sample'!$A:$AA,27,FALSE),0)</f>
        <v>0</v>
      </c>
      <c r="J131" s="52">
        <f>IFERROR(VLOOKUP($A131,'Dietary Sample'!$A:$AA,26,FALSE),0)</f>
        <v>0</v>
      </c>
      <c r="K131" s="54">
        <f>IFERROR(VLOOKUP($A131,'Dietary Sample'!$A:$AM,35,FALSE)/VLOOKUP($A131,'Dietary Sample'!$A:$AM,18,FALSE),0)</f>
        <v>0</v>
      </c>
      <c r="L131" s="55">
        <v>0</v>
      </c>
      <c r="M131" s="52">
        <f>IFERROR(VLOOKUP($A131,'Dietary Sample'!$A:$AA,23,FALSE),0)</f>
        <v>0</v>
      </c>
      <c r="N131" s="52">
        <f>IFERROR(VLOOKUP($A131,'Dietary Sample'!$A:$AA,22,FALSE),0)</f>
        <v>0</v>
      </c>
      <c r="O131" s="56">
        <f>IFERROR(VLOOKUP($A131,'Dietary Sample'!$A:$AM,30,FALSE)/VLOOKUP($A131,'Dietary Sample'!$A:$AM,17,FALSE),0)</f>
        <v>0</v>
      </c>
      <c r="P131" s="55">
        <v>0</v>
      </c>
      <c r="Q131" s="52">
        <f>IFERROR(VLOOKUP($A131,'Housekeeping Sample'!$A:$O,15,FALSE),0)</f>
        <v>18.576666666666668</v>
      </c>
      <c r="R131" s="52">
        <f>IFERROR(VLOOKUP($A131,'Housekeeping Sample'!$A:$O,14,FALSE),0)</f>
        <v>18.88</v>
      </c>
      <c r="S131" s="56">
        <f>IFERROR(VLOOKUP($A131,'Housekeeping Sample'!$A:$P,16,FALSE)/VLOOKUP($A131,'Housekeeping Sample'!$A:$P,11,FALSE),0)</f>
        <v>0.33333333333333331</v>
      </c>
      <c r="T131" s="55">
        <v>0.40989868792559375</v>
      </c>
      <c r="U131" s="52">
        <f>IFERROR(VLOOKUP($A131,'Activities Sample'!$A:$M,13,FALSE),0)</f>
        <v>0</v>
      </c>
      <c r="V131" s="52">
        <f>IFERROR(VLOOKUP($A131,'Activities Sample'!$A:$M,12,FALSE),0)</f>
        <v>0</v>
      </c>
      <c r="W131" s="56">
        <f>IFERROR(VLOOKUP($A131,'Activities Sample'!$A:$O,15,FALSE)/VLOOKUP($A131,'Activities Sample'!$A:$O,9,FALSE),0)</f>
        <v>0</v>
      </c>
      <c r="X131" s="55">
        <v>0</v>
      </c>
    </row>
    <row r="132" spans="1:24" s="57" customFormat="1" x14ac:dyDescent="0.55000000000000004">
      <c r="A132" s="50">
        <v>938</v>
      </c>
      <c r="B132" s="58">
        <v>3</v>
      </c>
      <c r="C132" s="58" t="s">
        <v>47</v>
      </c>
      <c r="D132" s="58" t="s">
        <v>43</v>
      </c>
      <c r="E132" s="59">
        <f>IFERROR(VLOOKUP($A132,'CNA Sample'!$A:$M,13,FALSE),0)</f>
        <v>0</v>
      </c>
      <c r="F132" s="53">
        <f>IFERROR(VLOOKUP($A132,'CNA Sample'!$A:$M,12,FALSE),0)</f>
        <v>0</v>
      </c>
      <c r="G132" s="60">
        <f>IFERROR(VLOOKUP($A132,'CNA Sample'!$A:$O,15,FALSE)/VLOOKUP($A132,'CNA Sample'!$A:$O,9,FALSE),0)</f>
        <v>0</v>
      </c>
      <c r="H132" s="55">
        <v>0</v>
      </c>
      <c r="I132" s="59">
        <f>IFERROR(VLOOKUP($A132,'Dietary Sample'!$A:$AA,27,FALSE),0)</f>
        <v>0</v>
      </c>
      <c r="J132" s="59">
        <f>IFERROR(VLOOKUP($A132,'Dietary Sample'!$A:$AA,26,FALSE),0)</f>
        <v>0</v>
      </c>
      <c r="K132" s="60">
        <f>IFERROR(VLOOKUP($A132,'Dietary Sample'!$A:$AM,35,FALSE)/VLOOKUP($A132,'Dietary Sample'!$A:$AM,18,FALSE),0)</f>
        <v>0</v>
      </c>
      <c r="L132" s="55">
        <v>0</v>
      </c>
      <c r="M132" s="59">
        <f>IFERROR(VLOOKUP($A132,'Dietary Sample'!$A:$AA,23,FALSE),0)</f>
        <v>0</v>
      </c>
      <c r="N132" s="59">
        <f>IFERROR(VLOOKUP($A132,'Dietary Sample'!$A:$AA,22,FALSE),0)</f>
        <v>0</v>
      </c>
      <c r="O132" s="56">
        <f>IFERROR(VLOOKUP($A132,'Dietary Sample'!$A:$AM,30,FALSE)/VLOOKUP($A132,'Dietary Sample'!$A:$AM,17,FALSE),0)</f>
        <v>0</v>
      </c>
      <c r="P132" s="55">
        <v>0</v>
      </c>
      <c r="Q132" s="59">
        <f>IFERROR(VLOOKUP($A132,'Housekeeping Sample'!$A:$O,15,FALSE),0)</f>
        <v>17.197777777777777</v>
      </c>
      <c r="R132" s="59">
        <f>IFERROR(VLOOKUP($A132,'Housekeeping Sample'!$A:$O,14,FALSE),0)</f>
        <v>16.66</v>
      </c>
      <c r="S132" s="56">
        <f>IFERROR(VLOOKUP($A132,'Housekeeping Sample'!$A:$P,16,FALSE)/VLOOKUP($A132,'Housekeeping Sample'!$A:$P,11,FALSE),0)</f>
        <v>0.22222222222222221</v>
      </c>
      <c r="T132" s="55">
        <v>0.45692883895131087</v>
      </c>
      <c r="U132" s="59">
        <f>IFERROR(VLOOKUP($A132,'Activities Sample'!$A:$M,13,FALSE),0)</f>
        <v>0</v>
      </c>
      <c r="V132" s="59">
        <f>IFERROR(VLOOKUP($A132,'Activities Sample'!$A:$M,12,FALSE),0)</f>
        <v>0</v>
      </c>
      <c r="W132" s="56">
        <f>IFERROR(VLOOKUP($A132,'Activities Sample'!$A:$O,15,FALSE)/VLOOKUP($A132,'Activities Sample'!$A:$O,9,FALSE),0)</f>
        <v>0</v>
      </c>
      <c r="X132" s="55">
        <v>0</v>
      </c>
    </row>
    <row r="133" spans="1:24" s="57" customFormat="1" x14ac:dyDescent="0.55000000000000004">
      <c r="A133" s="50">
        <v>951</v>
      </c>
      <c r="B133" s="51">
        <v>2</v>
      </c>
      <c r="C133" s="51" t="s">
        <v>51</v>
      </c>
      <c r="D133" s="51" t="s">
        <v>38</v>
      </c>
      <c r="E133" s="52">
        <f>IFERROR(VLOOKUP($A133,'CNA Sample'!$A:$M,13,FALSE),0)</f>
        <v>19.53125</v>
      </c>
      <c r="F133" s="53">
        <f>IFERROR(VLOOKUP($A133,'CNA Sample'!$A:$M,12,FALSE),0)</f>
        <v>19.5</v>
      </c>
      <c r="G133" s="54">
        <f>IFERROR(VLOOKUP($A133,'CNA Sample'!$A:$O,15,FALSE)/VLOOKUP($A133,'CNA Sample'!$A:$O,9,FALSE),0)</f>
        <v>0.6875</v>
      </c>
      <c r="H133" s="55">
        <v>2.3936221036706744</v>
      </c>
      <c r="I133" s="52">
        <f>IFERROR(VLOOKUP($A133,'Dietary Sample'!$A:$AA,27,FALSE),0)</f>
        <v>18.15625</v>
      </c>
      <c r="J133" s="52">
        <f>IFERROR(VLOOKUP($A133,'Dietary Sample'!$A:$AA,26,FALSE),0)</f>
        <v>17.799999999999997</v>
      </c>
      <c r="K133" s="54">
        <f>IFERROR(VLOOKUP($A133,'Dietary Sample'!$A:$AM,35,FALSE)/VLOOKUP($A133,'Dietary Sample'!$A:$AM,18,FALSE),0)</f>
        <v>0.5</v>
      </c>
      <c r="L133" s="55">
        <v>0.28595464191624231</v>
      </c>
      <c r="M133" s="52">
        <f>IFERROR(VLOOKUP($A133,'Dietary Sample'!$A:$AA,23,FALSE),0)</f>
        <v>15.293333333333333</v>
      </c>
      <c r="N133" s="52">
        <f>IFERROR(VLOOKUP($A133,'Dietary Sample'!$A:$AA,22,FALSE),0)</f>
        <v>15.25</v>
      </c>
      <c r="O133" s="56">
        <f>IFERROR(VLOOKUP($A133,'Dietary Sample'!$A:$AM,30,FALSE)/VLOOKUP($A133,'Dietary Sample'!$A:$AM,17,FALSE),0)</f>
        <v>0.33333333333333331</v>
      </c>
      <c r="P133" s="55">
        <v>0.53616495359295424</v>
      </c>
      <c r="Q133" s="52">
        <f>IFERROR(VLOOKUP($A133,'Housekeeping Sample'!$A:$O,15,FALSE),0)</f>
        <v>0</v>
      </c>
      <c r="R133" s="52">
        <f>IFERROR(VLOOKUP($A133,'Housekeeping Sample'!$A:$O,14,FALSE),0)</f>
        <v>0</v>
      </c>
      <c r="S133" s="56">
        <f>IFERROR(VLOOKUP($A133,'Housekeeping Sample'!$A:$P,16,FALSE)/VLOOKUP($A133,'Housekeeping Sample'!$A:$P,11,FALSE),0)</f>
        <v>0</v>
      </c>
      <c r="T133" s="55">
        <v>0</v>
      </c>
      <c r="U133" s="52">
        <f>IFERROR(VLOOKUP($A133,'Activities Sample'!$A:$M,13,FALSE),0)</f>
        <v>16.475000000000001</v>
      </c>
      <c r="V133" s="52">
        <f>IFERROR(VLOOKUP($A133,'Activities Sample'!$A:$M,12,FALSE),0)</f>
        <v>16.475000000000001</v>
      </c>
      <c r="W133" s="56">
        <f>IFERROR(VLOOKUP($A133,'Activities Sample'!$A:$O,15,FALSE)/VLOOKUP($A133,'Activities Sample'!$A:$O,9,FALSE),0)</f>
        <v>0.5</v>
      </c>
      <c r="X133" s="55">
        <v>0.26562624412771718</v>
      </c>
    </row>
    <row r="134" spans="1:24" s="57" customFormat="1" x14ac:dyDescent="0.55000000000000004">
      <c r="A134" s="50">
        <v>953</v>
      </c>
      <c r="B134" s="51">
        <v>3</v>
      </c>
      <c r="C134" s="51" t="s">
        <v>47</v>
      </c>
      <c r="D134" s="51" t="s">
        <v>43</v>
      </c>
      <c r="E134" s="52">
        <f>IFERROR(VLOOKUP($A134,'CNA Sample'!$A:$M,13,FALSE),0)</f>
        <v>19.862666666666666</v>
      </c>
      <c r="F134" s="53">
        <f>IFERROR(VLOOKUP($A134,'CNA Sample'!$A:$M,12,FALSE),0)</f>
        <v>19</v>
      </c>
      <c r="G134" s="54">
        <f>IFERROR(VLOOKUP($A134,'CNA Sample'!$A:$O,15,FALSE)/VLOOKUP($A134,'CNA Sample'!$A:$O,9,FALSE),0)</f>
        <v>0.6</v>
      </c>
      <c r="H134" s="55">
        <v>3.1548623853211009</v>
      </c>
      <c r="I134" s="52">
        <f>IFERROR(VLOOKUP($A134,'Dietary Sample'!$A:$AA,27,FALSE),0)</f>
        <v>0</v>
      </c>
      <c r="J134" s="52">
        <f>IFERROR(VLOOKUP($A134,'Dietary Sample'!$A:$AA,26,FALSE),0)</f>
        <v>0</v>
      </c>
      <c r="K134" s="54">
        <f>IFERROR(VLOOKUP($A134,'Dietary Sample'!$A:$AM,35,FALSE)/VLOOKUP($A134,'Dietary Sample'!$A:$AM,18,FALSE),0)</f>
        <v>0</v>
      </c>
      <c r="L134" s="55">
        <v>0</v>
      </c>
      <c r="M134" s="52">
        <f>IFERROR(VLOOKUP($A134,'Dietary Sample'!$A:$AA,23,FALSE),0)</f>
        <v>0</v>
      </c>
      <c r="N134" s="52">
        <f>IFERROR(VLOOKUP($A134,'Dietary Sample'!$A:$AA,22,FALSE),0)</f>
        <v>0</v>
      </c>
      <c r="O134" s="56">
        <f>IFERROR(VLOOKUP($A134,'Dietary Sample'!$A:$AM,30,FALSE)/VLOOKUP($A134,'Dietary Sample'!$A:$AM,17,FALSE),0)</f>
        <v>0</v>
      </c>
      <c r="P134" s="55">
        <v>0</v>
      </c>
      <c r="Q134" s="52">
        <f>IFERROR(VLOOKUP($A134,'Housekeeping Sample'!$A:$O,15,FALSE),0)</f>
        <v>16.137499999999999</v>
      </c>
      <c r="R134" s="52">
        <f>IFERROR(VLOOKUP($A134,'Housekeeping Sample'!$A:$O,14,FALSE),0)</f>
        <v>15.440000000000001</v>
      </c>
      <c r="S134" s="56">
        <f>IFERROR(VLOOKUP($A134,'Housekeeping Sample'!$A:$P,16,FALSE)/VLOOKUP($A134,'Housekeeping Sample'!$A:$P,11,FALSE),0)</f>
        <v>0.5</v>
      </c>
      <c r="T134" s="55">
        <v>0</v>
      </c>
      <c r="U134" s="52">
        <f>IFERROR(VLOOKUP($A134,'Activities Sample'!$A:$M,13,FALSE),0)</f>
        <v>17.883333333333333</v>
      </c>
      <c r="V134" s="52">
        <f>IFERROR(VLOOKUP($A134,'Activities Sample'!$A:$M,12,FALSE),0)</f>
        <v>17.79</v>
      </c>
      <c r="W134" s="56">
        <f>IFERROR(VLOOKUP($A134,'Activities Sample'!$A:$O,15,FALSE)/VLOOKUP($A134,'Activities Sample'!$A:$O,9,FALSE),0)</f>
        <v>0.66666666666666663</v>
      </c>
      <c r="X134" s="55">
        <v>0.41553516819571867</v>
      </c>
    </row>
    <row r="135" spans="1:24" s="57" customFormat="1" x14ac:dyDescent="0.55000000000000004">
      <c r="A135" s="50">
        <v>959</v>
      </c>
      <c r="B135" s="51">
        <v>2</v>
      </c>
      <c r="C135" s="51" t="s">
        <v>51</v>
      </c>
      <c r="D135" s="51" t="s">
        <v>43</v>
      </c>
      <c r="E135" s="52">
        <f>IFERROR(VLOOKUP($A135,'CNA Sample'!$A:$M,13,FALSE),0)</f>
        <v>23.190714285714289</v>
      </c>
      <c r="F135" s="53">
        <f>IFERROR(VLOOKUP($A135,'CNA Sample'!$A:$M,12,FALSE),0)</f>
        <v>23</v>
      </c>
      <c r="G135" s="54">
        <f>IFERROR(VLOOKUP($A135,'CNA Sample'!$A:$O,15,FALSE)/VLOOKUP($A135,'CNA Sample'!$A:$O,9,FALSE),0)</f>
        <v>0.5357142857142857</v>
      </c>
      <c r="H135" s="55">
        <v>2.4933967247754887</v>
      </c>
      <c r="I135" s="52">
        <f>IFERROR(VLOOKUP($A135,'Dietary Sample'!$A:$AA,27,FALSE),0)</f>
        <v>19.18</v>
      </c>
      <c r="J135" s="52">
        <f>IFERROR(VLOOKUP($A135,'Dietary Sample'!$A:$AA,26,FALSE),0)</f>
        <v>19.11</v>
      </c>
      <c r="K135" s="54">
        <f>IFERROR(VLOOKUP($A135,'Dietary Sample'!$A:$AM,35,FALSE)/VLOOKUP($A135,'Dietary Sample'!$A:$AM,18,FALSE),0)</f>
        <v>0.5</v>
      </c>
      <c r="L135" s="55">
        <v>0.61324176791688667</v>
      </c>
      <c r="M135" s="52">
        <f>IFERROR(VLOOKUP($A135,'Dietary Sample'!$A:$AA,23,FALSE),0)</f>
        <v>16.09181818181818</v>
      </c>
      <c r="N135" s="52">
        <f>IFERROR(VLOOKUP($A135,'Dietary Sample'!$A:$AA,22,FALSE),0)</f>
        <v>16</v>
      </c>
      <c r="O135" s="56">
        <f>IFERROR(VLOOKUP($A135,'Dietary Sample'!$A:$AM,30,FALSE)/VLOOKUP($A135,'Dietary Sample'!$A:$AM,17,FALSE),0)</f>
        <v>9.0909090909090912E-2</v>
      </c>
      <c r="P135" s="55">
        <v>1.6864148617714385</v>
      </c>
      <c r="Q135" s="52">
        <f>IFERROR(VLOOKUP($A135,'Housekeeping Sample'!$A:$O,15,FALSE),0)</f>
        <v>0</v>
      </c>
      <c r="R135" s="52">
        <f>IFERROR(VLOOKUP($A135,'Housekeeping Sample'!$A:$O,14,FALSE),0)</f>
        <v>0</v>
      </c>
      <c r="S135" s="56">
        <f>IFERROR(VLOOKUP($A135,'Housekeeping Sample'!$A:$P,16,FALSE)/VLOOKUP($A135,'Housekeeping Sample'!$A:$P,11,FALSE),0)</f>
        <v>0</v>
      </c>
      <c r="T135" s="55">
        <v>0</v>
      </c>
      <c r="U135" s="52">
        <f>IFERROR(VLOOKUP($A135,'Activities Sample'!$A:$M,13,FALSE),0)</f>
        <v>19.753333333333334</v>
      </c>
      <c r="V135" s="52">
        <f>IFERROR(VLOOKUP($A135,'Activities Sample'!$A:$M,12,FALSE),0)</f>
        <v>19.63</v>
      </c>
      <c r="W135" s="56">
        <f>IFERROR(VLOOKUP($A135,'Activities Sample'!$A:$O,15,FALSE)/VLOOKUP($A135,'Activities Sample'!$A:$O,9,FALSE),0)</f>
        <v>0.66666666666666663</v>
      </c>
      <c r="X135" s="55">
        <v>0.56537242472266247</v>
      </c>
    </row>
    <row r="136" spans="1:24" s="57" customFormat="1" x14ac:dyDescent="0.55000000000000004">
      <c r="A136" s="50">
        <v>962</v>
      </c>
      <c r="B136" s="51">
        <v>2</v>
      </c>
      <c r="C136" s="51" t="s">
        <v>42</v>
      </c>
      <c r="D136" s="51" t="s">
        <v>45</v>
      </c>
      <c r="E136" s="52">
        <f>IFERROR(VLOOKUP($A136,'CNA Sample'!$A:$M,13,FALSE),0)</f>
        <v>19.074444444444438</v>
      </c>
      <c r="F136" s="53">
        <f>IFERROR(VLOOKUP($A136,'CNA Sample'!$A:$M,12,FALSE),0)</f>
        <v>18.89</v>
      </c>
      <c r="G136" s="54">
        <f>IFERROR(VLOOKUP($A136,'CNA Sample'!$A:$O,15,FALSE)/VLOOKUP($A136,'CNA Sample'!$A:$O,9,FALSE),0)</f>
        <v>0.55555555555555558</v>
      </c>
      <c r="H136" s="55">
        <v>2.0410159601853439</v>
      </c>
      <c r="I136" s="52">
        <f>IFERROR(VLOOKUP($A136,'Dietary Sample'!$A:$AA,27,FALSE),0)</f>
        <v>19.598000000000003</v>
      </c>
      <c r="J136" s="52">
        <f>IFERROR(VLOOKUP($A136,'Dietary Sample'!$A:$AA,26,FALSE),0)</f>
        <v>19.7</v>
      </c>
      <c r="K136" s="54">
        <f>IFERROR(VLOOKUP($A136,'Dietary Sample'!$A:$AM,35,FALSE)/VLOOKUP($A136,'Dietary Sample'!$A:$AM,18,FALSE),0)</f>
        <v>0.2</v>
      </c>
      <c r="L136" s="55">
        <v>0.36903331780627135</v>
      </c>
      <c r="M136" s="52">
        <f>IFERROR(VLOOKUP($A136,'Dietary Sample'!$A:$AA,23,FALSE),0)</f>
        <v>17.117777777777775</v>
      </c>
      <c r="N136" s="52">
        <f>IFERROR(VLOOKUP($A136,'Dietary Sample'!$A:$AA,22,FALSE),0)</f>
        <v>17.600000000000001</v>
      </c>
      <c r="O136" s="56">
        <f>IFERROR(VLOOKUP($A136,'Dietary Sample'!$A:$AM,30,FALSE)/VLOOKUP($A136,'Dietary Sample'!$A:$AM,17,FALSE),0)</f>
        <v>0.44444444444444442</v>
      </c>
      <c r="P136" s="55">
        <v>0.66425997205128839</v>
      </c>
      <c r="Q136" s="52">
        <f>IFERROR(VLOOKUP($A136,'Housekeeping Sample'!$A:$O,15,FALSE),0)</f>
        <v>18.654285714285717</v>
      </c>
      <c r="R136" s="52">
        <f>IFERROR(VLOOKUP($A136,'Housekeeping Sample'!$A:$O,14,FALSE),0)</f>
        <v>18.89</v>
      </c>
      <c r="S136" s="56">
        <f>IFERROR(VLOOKUP($A136,'Housekeeping Sample'!$A:$P,16,FALSE)/VLOOKUP($A136,'Housekeeping Sample'!$A:$P,11,FALSE),0)</f>
        <v>0.42857142857142855</v>
      </c>
      <c r="T136" s="55">
        <v>0.35275441908357646</v>
      </c>
      <c r="U136" s="52">
        <f>IFERROR(VLOOKUP($A136,'Activities Sample'!$A:$M,13,FALSE),0)</f>
        <v>17.114285714285714</v>
      </c>
      <c r="V136" s="52">
        <f>IFERROR(VLOOKUP($A136,'Activities Sample'!$A:$M,12,FALSE),0)</f>
        <v>16.88</v>
      </c>
      <c r="W136" s="56">
        <f>IFERROR(VLOOKUP($A136,'Activities Sample'!$A:$O,15,FALSE)/VLOOKUP($A136,'Activities Sample'!$A:$O,9,FALSE),0)</f>
        <v>0.5714285714285714</v>
      </c>
      <c r="X136" s="55">
        <v>0.43229792345975632</v>
      </c>
    </row>
    <row r="137" spans="1:24" s="57" customFormat="1" x14ac:dyDescent="0.55000000000000004">
      <c r="A137" s="50">
        <v>965</v>
      </c>
      <c r="B137" s="51">
        <v>2</v>
      </c>
      <c r="C137" s="51" t="s">
        <v>49</v>
      </c>
      <c r="D137" s="51" t="s">
        <v>38</v>
      </c>
      <c r="E137" s="52">
        <f>IFERROR(VLOOKUP($A137,'CNA Sample'!$A:$M,13,FALSE),0)</f>
        <v>0</v>
      </c>
      <c r="F137" s="53">
        <f>IFERROR(VLOOKUP($A137,'CNA Sample'!$A:$M,12,FALSE),0)</f>
        <v>0</v>
      </c>
      <c r="G137" s="54">
        <f>IFERROR(VLOOKUP($A137,'CNA Sample'!$A:$O,15,FALSE)/VLOOKUP($A137,'CNA Sample'!$A:$O,9,FALSE),0)</f>
        <v>0</v>
      </c>
      <c r="H137" s="55">
        <v>0</v>
      </c>
      <c r="I137" s="52">
        <f>IFERROR(VLOOKUP($A137,'Dietary Sample'!$A:$AA,27,FALSE),0)</f>
        <v>0</v>
      </c>
      <c r="J137" s="52">
        <f>IFERROR(VLOOKUP($A137,'Dietary Sample'!$A:$AA,26,FALSE),0)</f>
        <v>0</v>
      </c>
      <c r="K137" s="54">
        <f>IFERROR(VLOOKUP($A137,'Dietary Sample'!$A:$AM,35,FALSE)/VLOOKUP($A137,'Dietary Sample'!$A:$AM,18,FALSE),0)</f>
        <v>0</v>
      </c>
      <c r="L137" s="55">
        <v>0</v>
      </c>
      <c r="M137" s="52">
        <f>IFERROR(VLOOKUP($A137,'Dietary Sample'!$A:$AA,23,FALSE),0)</f>
        <v>0</v>
      </c>
      <c r="N137" s="52">
        <f>IFERROR(VLOOKUP($A137,'Dietary Sample'!$A:$AA,22,FALSE),0)</f>
        <v>0</v>
      </c>
      <c r="O137" s="56">
        <f>IFERROR(VLOOKUP($A137,'Dietary Sample'!$A:$AM,30,FALSE)/VLOOKUP($A137,'Dietary Sample'!$A:$AM,17,FALSE),0)</f>
        <v>0</v>
      </c>
      <c r="P137" s="55">
        <v>0</v>
      </c>
      <c r="Q137" s="52">
        <f>IFERROR(VLOOKUP($A137,'Housekeeping Sample'!$A:$O,15,FALSE),0)</f>
        <v>20.41</v>
      </c>
      <c r="R137" s="52">
        <f>IFERROR(VLOOKUP($A137,'Housekeeping Sample'!$A:$O,14,FALSE),0)</f>
        <v>20.41</v>
      </c>
      <c r="S137" s="56">
        <f>IFERROR(VLOOKUP($A137,'Housekeeping Sample'!$A:$P,16,FALSE)/VLOOKUP($A137,'Housekeeping Sample'!$A:$P,11,FALSE),0)</f>
        <v>0</v>
      </c>
      <c r="T137" s="55">
        <v>0.56006477077218908</v>
      </c>
      <c r="U137" s="52">
        <f>IFERROR(VLOOKUP($A137,'Activities Sample'!$A:$M,13,FALSE),0)</f>
        <v>0</v>
      </c>
      <c r="V137" s="52">
        <f>IFERROR(VLOOKUP($A137,'Activities Sample'!$A:$M,12,FALSE),0)</f>
        <v>0</v>
      </c>
      <c r="W137" s="56">
        <f>IFERROR(VLOOKUP($A137,'Activities Sample'!$A:$O,15,FALSE)/VLOOKUP($A137,'Activities Sample'!$A:$O,9,FALSE),0)</f>
        <v>0</v>
      </c>
      <c r="X137" s="55">
        <v>0</v>
      </c>
    </row>
    <row r="138" spans="1:24" s="57" customFormat="1" x14ac:dyDescent="0.55000000000000004">
      <c r="A138" s="50">
        <v>967</v>
      </c>
      <c r="B138" s="51">
        <v>3</v>
      </c>
      <c r="C138" s="51" t="s">
        <v>37</v>
      </c>
      <c r="D138" s="51" t="s">
        <v>45</v>
      </c>
      <c r="E138" s="52">
        <f>IFERROR(VLOOKUP($A138,'CNA Sample'!$A:$M,13,FALSE),0)</f>
        <v>21.824999999999999</v>
      </c>
      <c r="F138" s="53">
        <f>IFERROR(VLOOKUP($A138,'CNA Sample'!$A:$M,12,FALSE),0)</f>
        <v>21.75</v>
      </c>
      <c r="G138" s="54">
        <f>IFERROR(VLOOKUP($A138,'CNA Sample'!$A:$O,15,FALSE)/VLOOKUP($A138,'CNA Sample'!$A:$O,9,FALSE),0)</f>
        <v>0.5</v>
      </c>
      <c r="H138" s="55">
        <v>2.019058466211086</v>
      </c>
      <c r="I138" s="52">
        <f>IFERROR(VLOOKUP($A138,'Dietary Sample'!$A:$AA,27,FALSE),0)</f>
        <v>19</v>
      </c>
      <c r="J138" s="52">
        <f>IFERROR(VLOOKUP($A138,'Dietary Sample'!$A:$AA,26,FALSE),0)</f>
        <v>18.75</v>
      </c>
      <c r="K138" s="54">
        <f>IFERROR(VLOOKUP($A138,'Dietary Sample'!$A:$AM,35,FALSE)/VLOOKUP($A138,'Dietary Sample'!$A:$AM,18,FALSE),0)</f>
        <v>0.5</v>
      </c>
      <c r="L138" s="55">
        <v>0.4425208807896735</v>
      </c>
      <c r="M138" s="52">
        <f>IFERROR(VLOOKUP($A138,'Dietary Sample'!$A:$AA,23,FALSE),0)</f>
        <v>17.166666666666668</v>
      </c>
      <c r="N138" s="52">
        <f>IFERROR(VLOOKUP($A138,'Dietary Sample'!$A:$AA,22,FALSE),0)</f>
        <v>17.5</v>
      </c>
      <c r="O138" s="56">
        <f>IFERROR(VLOOKUP($A138,'Dietary Sample'!$A:$AM,30,FALSE)/VLOOKUP($A138,'Dietary Sample'!$A:$AM,17,FALSE),0)</f>
        <v>0.33333333333333331</v>
      </c>
      <c r="P138" s="55">
        <v>0.33189066059225514</v>
      </c>
      <c r="Q138" s="52">
        <f>IFERROR(VLOOKUP($A138,'Housekeeping Sample'!$A:$O,15,FALSE),0)</f>
        <v>0</v>
      </c>
      <c r="R138" s="52">
        <f>IFERROR(VLOOKUP($A138,'Housekeeping Sample'!$A:$O,14,FALSE),0)</f>
        <v>0</v>
      </c>
      <c r="S138" s="56">
        <f>IFERROR(VLOOKUP($A138,'Housekeeping Sample'!$A:$P,16,FALSE)/VLOOKUP($A138,'Housekeeping Sample'!$A:$P,11,FALSE),0)</f>
        <v>0</v>
      </c>
      <c r="T138" s="55">
        <v>0</v>
      </c>
      <c r="U138" s="52">
        <f>IFERROR(VLOOKUP($A138,'Activities Sample'!$A:$M,13,FALSE),0)</f>
        <v>0</v>
      </c>
      <c r="V138" s="52">
        <f>IFERROR(VLOOKUP($A138,'Activities Sample'!$A:$M,12,FALSE),0)</f>
        <v>0</v>
      </c>
      <c r="W138" s="56">
        <f>IFERROR(VLOOKUP($A138,'Activities Sample'!$A:$O,15,FALSE)/VLOOKUP($A138,'Activities Sample'!$A:$O,9,FALSE),0)</f>
        <v>0</v>
      </c>
      <c r="X138" s="55">
        <v>0</v>
      </c>
    </row>
    <row r="139" spans="1:24" s="57" customFormat="1" x14ac:dyDescent="0.55000000000000004">
      <c r="A139" s="50">
        <v>984</v>
      </c>
      <c r="B139" s="51">
        <v>2</v>
      </c>
      <c r="C139" s="51" t="s">
        <v>39</v>
      </c>
      <c r="D139" s="51" t="s">
        <v>43</v>
      </c>
      <c r="E139" s="52">
        <f>IFERROR(VLOOKUP($A139,'CNA Sample'!$A:$M,13,FALSE),0)</f>
        <v>18.181621621621616</v>
      </c>
      <c r="F139" s="53">
        <f>IFERROR(VLOOKUP($A139,'CNA Sample'!$A:$M,12,FALSE),0)</f>
        <v>17.510000000000002</v>
      </c>
      <c r="G139" s="54">
        <f>IFERROR(VLOOKUP($A139,'CNA Sample'!$A:$O,15,FALSE)/VLOOKUP($A139,'CNA Sample'!$A:$O,9,FALSE),0)</f>
        <v>0.81081081081081086</v>
      </c>
      <c r="H139" s="55">
        <v>2.0675120076849183</v>
      </c>
      <c r="I139" s="52">
        <f>IFERROR(VLOOKUP($A139,'Dietary Sample'!$A:$AA,27,FALSE),0)</f>
        <v>18.375</v>
      </c>
      <c r="J139" s="52">
        <f>IFERROR(VLOOKUP($A139,'Dietary Sample'!$A:$AA,26,FALSE),0)</f>
        <v>17.89</v>
      </c>
      <c r="K139" s="54">
        <f>IFERROR(VLOOKUP($A139,'Dietary Sample'!$A:$AM,35,FALSE)/VLOOKUP($A139,'Dietary Sample'!$A:$AM,18,FALSE),0)</f>
        <v>0.5</v>
      </c>
      <c r="L139" s="55">
        <v>0.20354984112909186</v>
      </c>
      <c r="M139" s="52">
        <f>IFERROR(VLOOKUP($A139,'Dietary Sample'!$A:$AA,23,FALSE),0)</f>
        <v>15.828181818181811</v>
      </c>
      <c r="N139" s="52">
        <f>IFERROR(VLOOKUP($A139,'Dietary Sample'!$A:$AA,22,FALSE),0)</f>
        <v>15.45</v>
      </c>
      <c r="O139" s="56">
        <f>IFERROR(VLOOKUP($A139,'Dietary Sample'!$A:$AM,30,FALSE)/VLOOKUP($A139,'Dietary Sample'!$A:$AM,17,FALSE),0)</f>
        <v>0</v>
      </c>
      <c r="P139" s="55">
        <v>1.1195241262100051</v>
      </c>
      <c r="Q139" s="52">
        <f>IFERROR(VLOOKUP($A139,'Housekeeping Sample'!$A:$O,15,FALSE),0)</f>
        <v>18.101428571428574</v>
      </c>
      <c r="R139" s="52">
        <f>IFERROR(VLOOKUP($A139,'Housekeeping Sample'!$A:$O,14,FALSE),0)</f>
        <v>16.8</v>
      </c>
      <c r="S139" s="56">
        <f>IFERROR(VLOOKUP($A139,'Housekeeping Sample'!$A:$P,16,FALSE)/VLOOKUP($A139,'Housekeeping Sample'!$A:$P,11,FALSE),0)</f>
        <v>0.42857142857142855</v>
      </c>
      <c r="T139" s="55">
        <v>0.34328530259365997</v>
      </c>
      <c r="U139" s="52">
        <f>IFERROR(VLOOKUP($A139,'Activities Sample'!$A:$M,13,FALSE),0)</f>
        <v>16.71</v>
      </c>
      <c r="V139" s="52">
        <f>IFERROR(VLOOKUP($A139,'Activities Sample'!$A:$M,12,FALSE),0)</f>
        <v>16.71</v>
      </c>
      <c r="W139" s="66">
        <f>IFERROR(VLOOKUP($A139,'Activities Sample'!$A:$O,15,FALSE)/VLOOKUP($A139,'Activities Sample'!$A:$O,9,FALSE),0)</f>
        <v>0.5</v>
      </c>
      <c r="X139" s="55">
        <v>0.50758885686839572</v>
      </c>
    </row>
    <row r="140" spans="1:24" s="57" customFormat="1" x14ac:dyDescent="0.55000000000000004">
      <c r="A140" s="50">
        <v>997</v>
      </c>
      <c r="B140" s="51">
        <v>1</v>
      </c>
      <c r="C140" s="51" t="s">
        <v>42</v>
      </c>
      <c r="D140" s="51" t="s">
        <v>43</v>
      </c>
      <c r="E140" s="52">
        <f>IFERROR(VLOOKUP($A140,'CNA Sample'!$A:$M,13,FALSE),0)</f>
        <v>21.294628235294113</v>
      </c>
      <c r="F140" s="53">
        <f>IFERROR(VLOOKUP($A140,'CNA Sample'!$A:$M,12,FALSE),0)</f>
        <v>22.00404</v>
      </c>
      <c r="G140" s="54">
        <f>IFERROR(VLOOKUP($A140,'CNA Sample'!$A:$O,15,FALSE)/VLOOKUP($A140,'CNA Sample'!$A:$O,9,FALSE),0)</f>
        <v>0.29411764705882354</v>
      </c>
      <c r="H140" s="55">
        <v>1.7088163662932294</v>
      </c>
      <c r="I140" s="52">
        <f>IFERROR(VLOOKUP($A140,'Dietary Sample'!$A:$AA,27,FALSE),0)</f>
        <v>17.174039999999998</v>
      </c>
      <c r="J140" s="52">
        <f>IFERROR(VLOOKUP($A140,'Dietary Sample'!$A:$AA,26,FALSE),0)</f>
        <v>16.814039999999999</v>
      </c>
      <c r="K140" s="54">
        <f>IFERROR(VLOOKUP($A140,'Dietary Sample'!$A:$AM,35,FALSE)/VLOOKUP($A140,'Dietary Sample'!$A:$AM,18,FALSE),0)</f>
        <v>0.5</v>
      </c>
      <c r="L140" s="55">
        <v>0.44106727282567515</v>
      </c>
      <c r="M140" s="52">
        <f>IFERROR(VLOOKUP($A140,'Dietary Sample'!$A:$AA,23,FALSE),0)</f>
        <v>15.532039999999999</v>
      </c>
      <c r="N140" s="52">
        <f>IFERROR(VLOOKUP($A140,'Dietary Sample'!$A:$AA,22,FALSE),0)</f>
        <v>15.944039999999999</v>
      </c>
      <c r="O140" s="56">
        <f>IFERROR(VLOOKUP($A140,'Dietary Sample'!$A:$AM,30,FALSE)/VLOOKUP($A140,'Dietary Sample'!$A:$AM,17,FALSE),0)</f>
        <v>0.4</v>
      </c>
      <c r="P140" s="55">
        <v>0.55133409103209396</v>
      </c>
      <c r="Q140" s="52">
        <f>IFERROR(VLOOKUP($A140,'Housekeeping Sample'!$A:$O,15,FALSE),0)</f>
        <v>16.067373333333332</v>
      </c>
      <c r="R140" s="52">
        <f>IFERROR(VLOOKUP($A140,'Housekeeping Sample'!$A:$O,14,FALSE),0)</f>
        <v>15.75404</v>
      </c>
      <c r="S140" s="56">
        <f>IFERROR(VLOOKUP($A140,'Housekeeping Sample'!$A:$P,16,FALSE)/VLOOKUP($A140,'Housekeeping Sample'!$A:$P,11,FALSE),0)</f>
        <v>0.33333333333333331</v>
      </c>
      <c r="T140" s="55">
        <v>0.3568436434486118</v>
      </c>
      <c r="U140" s="52">
        <f>IFERROR(VLOOKUP($A140,'Activities Sample'!$A:$M,13,FALSE),0)</f>
        <v>0</v>
      </c>
      <c r="V140" s="52">
        <f>IFERROR(VLOOKUP($A140,'Activities Sample'!$A:$M,12,FALSE),0)</f>
        <v>0</v>
      </c>
      <c r="W140" s="56">
        <f>IFERROR(VLOOKUP($A140,'Activities Sample'!$A:$O,15,FALSE)/VLOOKUP($A140,'Activities Sample'!$A:$O,9,FALSE),0)</f>
        <v>0</v>
      </c>
      <c r="X140" s="55">
        <v>0</v>
      </c>
    </row>
    <row r="141" spans="1:24" s="57" customFormat="1" x14ac:dyDescent="0.55000000000000004">
      <c r="A141" s="50">
        <v>999</v>
      </c>
      <c r="B141" s="51">
        <v>2</v>
      </c>
      <c r="C141" s="51" t="s">
        <v>52</v>
      </c>
      <c r="D141" s="51" t="s">
        <v>40</v>
      </c>
      <c r="E141" s="52">
        <f>IFERROR(VLOOKUP($A141,'CNA Sample'!$A:$M,13,FALSE),0)</f>
        <v>0</v>
      </c>
      <c r="F141" s="53">
        <f>IFERROR(VLOOKUP($A141,'CNA Sample'!$A:$M,12,FALSE),0)</f>
        <v>0</v>
      </c>
      <c r="G141" s="54">
        <f>IFERROR(VLOOKUP($A141,'CNA Sample'!$A:$O,15,FALSE)/VLOOKUP($A141,'CNA Sample'!$A:$O,9,FALSE),0)</f>
        <v>0</v>
      </c>
      <c r="H141" s="55">
        <v>0</v>
      </c>
      <c r="I141" s="52">
        <f>IFERROR(VLOOKUP($A141,'Dietary Sample'!$A:$AA,27,FALSE),0)</f>
        <v>0</v>
      </c>
      <c r="J141" s="52">
        <f>IFERROR(VLOOKUP($A141,'Dietary Sample'!$A:$AA,26,FALSE),0)</f>
        <v>0</v>
      </c>
      <c r="K141" s="54">
        <f>IFERROR(VLOOKUP($A141,'Dietary Sample'!$A:$AM,35,FALSE)/VLOOKUP($A141,'Dietary Sample'!$A:$AM,18,FALSE),0)</f>
        <v>0</v>
      </c>
      <c r="L141" s="55">
        <v>0</v>
      </c>
      <c r="M141" s="52">
        <f>IFERROR(VLOOKUP($A141,'Dietary Sample'!$A:$AA,23,FALSE),0)</f>
        <v>0</v>
      </c>
      <c r="N141" s="52">
        <f>IFERROR(VLOOKUP($A141,'Dietary Sample'!$A:$AA,22,FALSE),0)</f>
        <v>0</v>
      </c>
      <c r="O141" s="56">
        <f>IFERROR(VLOOKUP($A141,'Dietary Sample'!$A:$AM,30,FALSE)/VLOOKUP($A141,'Dietary Sample'!$A:$AM,17,FALSE),0)</f>
        <v>0</v>
      </c>
      <c r="P141" s="55">
        <v>0</v>
      </c>
      <c r="Q141" s="52">
        <f>IFERROR(VLOOKUP($A141,'Housekeeping Sample'!$A:$O,15,FALSE),0)</f>
        <v>0</v>
      </c>
      <c r="R141" s="52">
        <f>IFERROR(VLOOKUP($A141,'Housekeeping Sample'!$A:$O,14,FALSE),0)</f>
        <v>0</v>
      </c>
      <c r="S141" s="56">
        <f>IFERROR(VLOOKUP($A141,'Housekeeping Sample'!$A:$P,16,FALSE)/VLOOKUP($A141,'Housekeeping Sample'!$A:$P,11,FALSE),0)</f>
        <v>0</v>
      </c>
      <c r="T141" s="55">
        <v>0</v>
      </c>
      <c r="U141" s="52">
        <f>IFERROR(VLOOKUP($A141,'Activities Sample'!$A:$M,13,FALSE),0)</f>
        <v>16.765000000000001</v>
      </c>
      <c r="V141" s="52">
        <f>IFERROR(VLOOKUP($A141,'Activities Sample'!$A:$M,12,FALSE),0)</f>
        <v>16.61</v>
      </c>
      <c r="W141" s="56">
        <f>IFERROR(VLOOKUP($A141,'Activities Sample'!$A:$O,15,FALSE)/VLOOKUP($A141,'Activities Sample'!$A:$O,9,FALSE),0)</f>
        <v>0.5</v>
      </c>
      <c r="X141" s="55">
        <v>0.52711207939966109</v>
      </c>
    </row>
  </sheetData>
  <sheetProtection algorithmName="SHA-512" hashValue="iXL0iJsZJg6f4v+5m+qsMTmayUJJ07P6wwrKPD9rk6xyVVQqf4bwaaXUF7qPzqMDSOP8prF0DwADxWJARAvWUw==" saltValue="RgMXwKEahDOvpdQxKm9WMg==" spinCount="100000" sheet="1" objects="1" scenarios="1"/>
  <conditionalFormatting sqref="A9:A1048576">
    <cfRule type="duplicateValues" dxfId="304" priority="2"/>
  </conditionalFormatting>
  <conditionalFormatting sqref="A2:A3">
    <cfRule type="duplicateValues" dxfId="303" priority="4"/>
  </conditionalFormatting>
  <dataValidations count="1">
    <dataValidation type="list" allowBlank="1" showInputMessage="1" showErrorMessage="1" sqref="E3" xr:uid="{5AB22F66-41AA-4F29-B5B6-2ED4040E1540}">
      <formula1>$AB$5:$AB$8</formula1>
    </dataValidation>
  </dataValidations>
  <pageMargins left="0.7" right="0.7" top="0.75" bottom="0.75" header="0.3" footer="0.3"/>
  <pageSetup paperSize="17" orientation="landscape" horizontalDpi="1200" verticalDpi="1200" r:id="rId1"/>
  <ignoredErrors>
    <ignoredError sqref="Q4" formulaRange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F5C43-EBB7-405C-AF0E-C0B3A5EF96CE}">
  <dimension ref="A1:BS346"/>
  <sheetViews>
    <sheetView workbookViewId="0"/>
  </sheetViews>
  <sheetFormatPr defaultColWidth="9.15625" defaultRowHeight="14.4" x14ac:dyDescent="0.55000000000000004"/>
  <cols>
    <col min="1" max="16384" width="9.15625" style="10"/>
  </cols>
  <sheetData>
    <row r="1" spans="1:71" x14ac:dyDescent="0.55000000000000004">
      <c r="A1" s="10" t="s">
        <v>167</v>
      </c>
    </row>
    <row r="3" spans="1:71" x14ac:dyDescent="0.55000000000000004">
      <c r="A3" s="10" t="s">
        <v>13</v>
      </c>
      <c r="B3" s="10" t="s">
        <v>168</v>
      </c>
      <c r="C3" s="10" t="s">
        <v>149</v>
      </c>
      <c r="D3" s="10" t="s">
        <v>59</v>
      </c>
      <c r="E3" s="10" t="s">
        <v>101</v>
      </c>
      <c r="F3" s="10" t="s">
        <v>169</v>
      </c>
      <c r="G3" s="10" t="s">
        <v>159</v>
      </c>
      <c r="H3" s="10" t="s">
        <v>170</v>
      </c>
      <c r="I3" s="10" t="s">
        <v>171</v>
      </c>
      <c r="J3" s="10" t="s">
        <v>172</v>
      </c>
      <c r="K3" s="10" t="s">
        <v>173</v>
      </c>
      <c r="L3" s="10" t="s">
        <v>174</v>
      </c>
      <c r="M3" s="10" t="s">
        <v>175</v>
      </c>
      <c r="N3" s="10" t="s">
        <v>176</v>
      </c>
      <c r="O3" s="10" t="s">
        <v>177</v>
      </c>
      <c r="P3" s="10" t="s">
        <v>178</v>
      </c>
      <c r="Q3" s="10" t="s">
        <v>179</v>
      </c>
      <c r="R3" s="10" t="s">
        <v>180</v>
      </c>
      <c r="S3" s="10" t="s">
        <v>181</v>
      </c>
      <c r="T3" s="10" t="s">
        <v>182</v>
      </c>
      <c r="U3" s="10" t="s">
        <v>148</v>
      </c>
      <c r="V3" s="10" t="s">
        <v>58</v>
      </c>
      <c r="W3" s="10" t="s">
        <v>183</v>
      </c>
      <c r="X3" s="10" t="s">
        <v>93</v>
      </c>
      <c r="Y3" s="10" t="s">
        <v>184</v>
      </c>
      <c r="Z3" s="10" t="s">
        <v>158</v>
      </c>
      <c r="AA3" s="10" t="s">
        <v>185</v>
      </c>
      <c r="AB3" s="10" t="s">
        <v>186</v>
      </c>
      <c r="AC3" s="10" t="s">
        <v>187</v>
      </c>
      <c r="AD3" s="10" t="s">
        <v>188</v>
      </c>
      <c r="AE3" s="10" t="s">
        <v>189</v>
      </c>
      <c r="AF3" s="10" t="s">
        <v>190</v>
      </c>
      <c r="AG3" s="10" t="s">
        <v>191</v>
      </c>
      <c r="AH3" s="10" t="s">
        <v>192</v>
      </c>
      <c r="AI3" s="10" t="s">
        <v>193</v>
      </c>
      <c r="AJ3" s="10" t="s">
        <v>194</v>
      </c>
      <c r="AK3" s="10" t="s">
        <v>195</v>
      </c>
      <c r="AL3" s="10" t="s">
        <v>196</v>
      </c>
      <c r="AM3" s="10" t="s">
        <v>197</v>
      </c>
      <c r="AN3" s="10" t="s">
        <v>146</v>
      </c>
      <c r="AO3" s="10" t="s">
        <v>198</v>
      </c>
      <c r="AP3" s="10" t="s">
        <v>55</v>
      </c>
      <c r="AQ3" s="10" t="s">
        <v>90</v>
      </c>
      <c r="AR3" s="10" t="s">
        <v>156</v>
      </c>
      <c r="AS3" s="10" t="s">
        <v>199</v>
      </c>
      <c r="AT3" s="10" t="s">
        <v>200</v>
      </c>
      <c r="AU3" s="10" t="s">
        <v>201</v>
      </c>
      <c r="AV3" s="10" t="s">
        <v>202</v>
      </c>
      <c r="AW3" s="10" t="s">
        <v>203</v>
      </c>
      <c r="AX3" s="10" t="s">
        <v>204</v>
      </c>
      <c r="AY3" s="10" t="s">
        <v>205</v>
      </c>
      <c r="AZ3" s="10" t="s">
        <v>206</v>
      </c>
      <c r="BA3" s="10" t="s">
        <v>207</v>
      </c>
      <c r="BB3" s="10" t="s">
        <v>208</v>
      </c>
      <c r="BC3" s="10" t="s">
        <v>209</v>
      </c>
      <c r="BD3" s="10" t="s">
        <v>147</v>
      </c>
      <c r="BE3" s="10" t="s">
        <v>210</v>
      </c>
      <c r="BF3" s="10" t="s">
        <v>56</v>
      </c>
      <c r="BG3" s="10" t="s">
        <v>91</v>
      </c>
      <c r="BH3" s="10" t="s">
        <v>157</v>
      </c>
      <c r="BI3" s="10" t="s">
        <v>211</v>
      </c>
      <c r="BJ3" s="10" t="s">
        <v>212</v>
      </c>
      <c r="BK3" s="10" t="s">
        <v>213</v>
      </c>
      <c r="BL3" s="10" t="s">
        <v>214</v>
      </c>
      <c r="BM3" s="10" t="s">
        <v>215</v>
      </c>
      <c r="BN3" s="10" t="s">
        <v>216</v>
      </c>
      <c r="BO3" s="10" t="s">
        <v>217</v>
      </c>
      <c r="BP3" s="10" t="s">
        <v>218</v>
      </c>
      <c r="BQ3" s="10" t="s">
        <v>219</v>
      </c>
      <c r="BR3" s="10" t="s">
        <v>220</v>
      </c>
      <c r="BS3" s="10" t="s">
        <v>221</v>
      </c>
    </row>
    <row r="4" spans="1:71" x14ac:dyDescent="0.55000000000000004">
      <c r="A4" s="10">
        <v>878</v>
      </c>
      <c r="B4" s="10">
        <v>2022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0</v>
      </c>
      <c r="BA4" s="10">
        <v>0</v>
      </c>
      <c r="BB4" s="10">
        <v>0</v>
      </c>
      <c r="BC4" s="10">
        <v>0</v>
      </c>
      <c r="BD4" s="10">
        <v>0</v>
      </c>
      <c r="BE4" s="10">
        <v>0</v>
      </c>
      <c r="BF4" s="10">
        <v>0</v>
      </c>
      <c r="BG4" s="10">
        <v>0</v>
      </c>
      <c r="BH4" s="10">
        <v>0</v>
      </c>
      <c r="BI4" s="10">
        <v>0</v>
      </c>
      <c r="BJ4" s="10">
        <v>0</v>
      </c>
      <c r="BK4" s="10">
        <v>0</v>
      </c>
      <c r="BL4" s="10">
        <v>0</v>
      </c>
      <c r="BM4" s="10">
        <v>0</v>
      </c>
      <c r="BN4" s="10">
        <v>0</v>
      </c>
      <c r="BO4" s="10">
        <v>0</v>
      </c>
      <c r="BP4" s="10">
        <v>0</v>
      </c>
      <c r="BQ4" s="10">
        <v>0</v>
      </c>
      <c r="BR4" s="10">
        <v>0</v>
      </c>
      <c r="BS4" s="10">
        <v>0</v>
      </c>
    </row>
    <row r="5" spans="1:71" x14ac:dyDescent="0.55000000000000004">
      <c r="A5" s="10">
        <v>414</v>
      </c>
      <c r="B5" s="10">
        <v>2022</v>
      </c>
      <c r="C5" s="10">
        <v>205</v>
      </c>
      <c r="D5" s="10">
        <v>0</v>
      </c>
      <c r="E5" s="10">
        <v>2401</v>
      </c>
      <c r="F5" s="10">
        <v>1053</v>
      </c>
      <c r="G5" s="10">
        <v>307</v>
      </c>
      <c r="H5" s="10">
        <v>0</v>
      </c>
      <c r="I5" s="10">
        <v>3595</v>
      </c>
      <c r="J5" s="10">
        <v>0</v>
      </c>
      <c r="K5" s="10">
        <v>0</v>
      </c>
      <c r="L5" s="10">
        <v>0</v>
      </c>
      <c r="M5" s="10">
        <v>334</v>
      </c>
      <c r="N5" s="10">
        <v>0</v>
      </c>
      <c r="O5" s="10">
        <v>0</v>
      </c>
      <c r="P5" s="10">
        <v>577</v>
      </c>
      <c r="Q5" s="10">
        <v>553</v>
      </c>
      <c r="R5" s="10">
        <v>0</v>
      </c>
      <c r="S5" s="10">
        <v>5264</v>
      </c>
      <c r="T5" s="10">
        <v>3761</v>
      </c>
      <c r="U5" s="10">
        <v>-13.848780487804879</v>
      </c>
      <c r="V5" s="10">
        <v>0</v>
      </c>
      <c r="W5" s="10">
        <v>0</v>
      </c>
      <c r="X5" s="10">
        <v>20.630987088713034</v>
      </c>
      <c r="Y5" s="10">
        <v>53.496676163342833</v>
      </c>
      <c r="Z5" s="10">
        <v>15.133550488599347</v>
      </c>
      <c r="AA5" s="10">
        <v>0</v>
      </c>
      <c r="AB5" s="10">
        <v>27.204172461752432</v>
      </c>
      <c r="AC5" s="10">
        <v>50.585526315789473</v>
      </c>
      <c r="AD5" s="10">
        <v>0</v>
      </c>
      <c r="AE5" s="10">
        <v>0</v>
      </c>
      <c r="AF5" s="10">
        <v>46.161676646706582</v>
      </c>
      <c r="AG5" s="10">
        <v>0</v>
      </c>
      <c r="AH5" s="10">
        <v>0</v>
      </c>
      <c r="AI5" s="10">
        <v>31.994800693240901</v>
      </c>
      <c r="AJ5" s="10">
        <v>63.130943102104446</v>
      </c>
      <c r="AK5" s="10">
        <v>29.763110307414102</v>
      </c>
      <c r="AL5" s="10">
        <v>0</v>
      </c>
      <c r="AM5" s="10">
        <v>0</v>
      </c>
      <c r="AN5" s="10">
        <v>0</v>
      </c>
      <c r="AO5" s="10">
        <v>1</v>
      </c>
      <c r="AP5" s="10">
        <v>0</v>
      </c>
      <c r="AQ5" s="10">
        <v>2</v>
      </c>
      <c r="AR5" s="10">
        <v>0</v>
      </c>
      <c r="AS5" s="10">
        <v>0</v>
      </c>
      <c r="AT5" s="10">
        <v>3</v>
      </c>
      <c r="AU5" s="10">
        <v>0</v>
      </c>
      <c r="AV5" s="10">
        <v>0</v>
      </c>
      <c r="AW5" s="10">
        <v>0</v>
      </c>
      <c r="AX5" s="10">
        <v>1</v>
      </c>
      <c r="AY5" s="10">
        <v>0</v>
      </c>
      <c r="AZ5" s="10">
        <v>0</v>
      </c>
      <c r="BA5" s="10">
        <v>1</v>
      </c>
      <c r="BB5" s="10">
        <v>0</v>
      </c>
      <c r="BC5" s="10">
        <v>8</v>
      </c>
      <c r="BD5" s="10">
        <v>0</v>
      </c>
      <c r="BE5" s="10">
        <v>0</v>
      </c>
      <c r="BF5" s="10">
        <v>0</v>
      </c>
      <c r="BG5" s="10">
        <v>1</v>
      </c>
      <c r="BH5" s="10">
        <v>2</v>
      </c>
      <c r="BI5" s="10">
        <v>0</v>
      </c>
      <c r="BJ5" s="10">
        <v>4</v>
      </c>
      <c r="BK5" s="10">
        <v>0</v>
      </c>
      <c r="BL5" s="10">
        <v>0</v>
      </c>
      <c r="BM5" s="10">
        <v>0</v>
      </c>
      <c r="BN5" s="10">
        <v>0</v>
      </c>
      <c r="BO5" s="10">
        <v>0</v>
      </c>
      <c r="BP5" s="10">
        <v>2</v>
      </c>
      <c r="BQ5" s="10">
        <v>0</v>
      </c>
      <c r="BR5" s="10">
        <v>0</v>
      </c>
      <c r="BS5" s="10">
        <v>9</v>
      </c>
    </row>
    <row r="6" spans="1:71" x14ac:dyDescent="0.55000000000000004">
      <c r="A6" s="10">
        <v>228</v>
      </c>
      <c r="B6" s="10">
        <v>2022</v>
      </c>
      <c r="C6" s="10">
        <v>1740</v>
      </c>
      <c r="D6" s="10">
        <v>0</v>
      </c>
      <c r="E6" s="10">
        <v>2881</v>
      </c>
      <c r="F6" s="10">
        <v>580</v>
      </c>
      <c r="G6" s="10">
        <v>1334</v>
      </c>
      <c r="H6" s="10">
        <v>148</v>
      </c>
      <c r="I6" s="10">
        <v>5394</v>
      </c>
      <c r="J6" s="10">
        <v>0</v>
      </c>
      <c r="K6" s="10">
        <v>0</v>
      </c>
      <c r="L6" s="10">
        <v>62</v>
      </c>
      <c r="M6" s="10">
        <v>1089</v>
      </c>
      <c r="N6" s="10">
        <v>0</v>
      </c>
      <c r="O6" s="10">
        <v>79</v>
      </c>
      <c r="P6" s="10">
        <v>3332</v>
      </c>
      <c r="Q6" s="10">
        <v>0</v>
      </c>
      <c r="R6" s="10">
        <v>0</v>
      </c>
      <c r="S6" s="10">
        <v>11617</v>
      </c>
      <c r="T6" s="10">
        <v>5022</v>
      </c>
      <c r="U6" s="10">
        <v>17.741954022988505</v>
      </c>
      <c r="V6" s="10">
        <v>0</v>
      </c>
      <c r="W6" s="10">
        <v>0</v>
      </c>
      <c r="X6" s="10">
        <v>19.513016313779936</v>
      </c>
      <c r="Y6" s="10">
        <v>40.627586206896552</v>
      </c>
      <c r="Z6" s="10">
        <v>18.265367316341827</v>
      </c>
      <c r="AA6" s="10">
        <v>18.29054054054054</v>
      </c>
      <c r="AB6" s="10">
        <v>28.478494623655912</v>
      </c>
      <c r="AC6" s="10">
        <v>0</v>
      </c>
      <c r="AD6" s="10">
        <v>0</v>
      </c>
      <c r="AE6" s="10">
        <v>35.12903225806452</v>
      </c>
      <c r="AF6" s="10">
        <v>40.652892561983471</v>
      </c>
      <c r="AG6" s="10">
        <v>0</v>
      </c>
      <c r="AH6" s="10">
        <v>40.620253164556956</v>
      </c>
      <c r="AI6" s="10">
        <v>32.522208883553418</v>
      </c>
      <c r="AJ6" s="10">
        <v>0</v>
      </c>
      <c r="AK6" s="10">
        <v>0</v>
      </c>
      <c r="AL6" s="10">
        <v>0</v>
      </c>
      <c r="AM6" s="10">
        <v>0</v>
      </c>
      <c r="AN6" s="10">
        <v>1</v>
      </c>
      <c r="AO6" s="10">
        <v>0</v>
      </c>
      <c r="AP6" s="10">
        <v>0</v>
      </c>
      <c r="AQ6" s="10">
        <v>1</v>
      </c>
      <c r="AR6" s="10">
        <v>1</v>
      </c>
      <c r="AS6" s="10">
        <v>0</v>
      </c>
      <c r="AT6" s="10">
        <v>1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1</v>
      </c>
      <c r="BA6" s="10">
        <v>0</v>
      </c>
      <c r="BB6" s="10">
        <v>0</v>
      </c>
      <c r="BC6" s="10">
        <v>5</v>
      </c>
      <c r="BD6" s="10">
        <v>0</v>
      </c>
      <c r="BE6" s="10">
        <v>0</v>
      </c>
      <c r="BF6" s="10">
        <v>0</v>
      </c>
      <c r="BG6" s="10">
        <v>1</v>
      </c>
      <c r="BH6" s="10">
        <v>0</v>
      </c>
      <c r="BI6" s="10">
        <v>1</v>
      </c>
      <c r="BJ6" s="10">
        <v>2</v>
      </c>
      <c r="BK6" s="10">
        <v>0</v>
      </c>
      <c r="BL6" s="10">
        <v>0</v>
      </c>
      <c r="BM6" s="10">
        <v>1</v>
      </c>
      <c r="BN6" s="10">
        <v>1</v>
      </c>
      <c r="BO6" s="10">
        <v>0</v>
      </c>
      <c r="BP6" s="10">
        <v>5</v>
      </c>
      <c r="BQ6" s="10">
        <v>0</v>
      </c>
      <c r="BR6" s="10">
        <v>0</v>
      </c>
      <c r="BS6" s="10">
        <v>11</v>
      </c>
    </row>
    <row r="7" spans="1:71" x14ac:dyDescent="0.55000000000000004">
      <c r="A7" s="10">
        <v>701</v>
      </c>
      <c r="B7" s="10">
        <v>2022</v>
      </c>
      <c r="C7" s="10">
        <v>2130</v>
      </c>
      <c r="D7" s="10">
        <v>0</v>
      </c>
      <c r="E7" s="10">
        <v>11364</v>
      </c>
      <c r="F7" s="10">
        <v>5064</v>
      </c>
      <c r="G7" s="10">
        <v>8335</v>
      </c>
      <c r="H7" s="10">
        <v>2089</v>
      </c>
      <c r="I7" s="10">
        <v>7865</v>
      </c>
      <c r="J7" s="10">
        <v>0</v>
      </c>
      <c r="K7" s="10">
        <v>0</v>
      </c>
      <c r="L7" s="10">
        <v>1764</v>
      </c>
      <c r="M7" s="10">
        <v>1280</v>
      </c>
      <c r="N7" s="10">
        <v>0</v>
      </c>
      <c r="O7" s="10">
        <v>1741</v>
      </c>
      <c r="P7" s="10">
        <v>4651</v>
      </c>
      <c r="Q7" s="10">
        <v>769</v>
      </c>
      <c r="R7" s="10">
        <v>11043</v>
      </c>
      <c r="S7" s="10">
        <v>29502</v>
      </c>
      <c r="T7" s="10">
        <v>28593</v>
      </c>
      <c r="U7" s="10">
        <v>23.629577464788731</v>
      </c>
      <c r="V7" s="10">
        <v>0</v>
      </c>
      <c r="W7" s="10">
        <v>30.661538461538463</v>
      </c>
      <c r="X7" s="10">
        <v>18.213921154523053</v>
      </c>
      <c r="Y7" s="10">
        <v>43.425157977883096</v>
      </c>
      <c r="Z7" s="10">
        <v>16.311217756448709</v>
      </c>
      <c r="AA7" s="10">
        <v>14.668741024413594</v>
      </c>
      <c r="AB7" s="10">
        <v>27.103623649078191</v>
      </c>
      <c r="AC7" s="10">
        <v>46.666666666666664</v>
      </c>
      <c r="AD7" s="10">
        <v>0</v>
      </c>
      <c r="AE7" s="10">
        <v>21.156462585034014</v>
      </c>
      <c r="AF7" s="10">
        <v>51.291406250000001</v>
      </c>
      <c r="AG7" s="10">
        <v>0</v>
      </c>
      <c r="AH7" s="10">
        <v>21.309017805858701</v>
      </c>
      <c r="AI7" s="10">
        <v>37.501397548914213</v>
      </c>
      <c r="AJ7" s="10">
        <v>0</v>
      </c>
      <c r="AK7" s="10">
        <v>19.60338101430429</v>
      </c>
      <c r="AL7" s="10">
        <v>19.813818708684231</v>
      </c>
      <c r="AM7" s="10">
        <v>0</v>
      </c>
      <c r="AN7" s="10">
        <v>1</v>
      </c>
      <c r="AO7" s="10">
        <v>1</v>
      </c>
      <c r="AP7" s="10">
        <v>0</v>
      </c>
      <c r="AQ7" s="10">
        <v>3</v>
      </c>
      <c r="AR7" s="10">
        <v>5</v>
      </c>
      <c r="AS7" s="10">
        <v>0</v>
      </c>
      <c r="AT7" s="10">
        <v>4</v>
      </c>
      <c r="AU7" s="10">
        <v>1</v>
      </c>
      <c r="AV7" s="10">
        <v>0</v>
      </c>
      <c r="AW7" s="10">
        <v>1</v>
      </c>
      <c r="AX7" s="10">
        <v>1</v>
      </c>
      <c r="AY7" s="10">
        <v>0</v>
      </c>
      <c r="AZ7" s="10">
        <v>2</v>
      </c>
      <c r="BA7" s="10">
        <v>1</v>
      </c>
      <c r="BB7" s="10">
        <v>5</v>
      </c>
      <c r="BC7" s="10">
        <v>25</v>
      </c>
      <c r="BD7" s="10">
        <v>0</v>
      </c>
      <c r="BE7" s="10">
        <v>1</v>
      </c>
      <c r="BF7" s="10">
        <v>0</v>
      </c>
      <c r="BG7" s="10">
        <v>5</v>
      </c>
      <c r="BH7" s="10">
        <v>0</v>
      </c>
      <c r="BI7" s="10">
        <v>0</v>
      </c>
      <c r="BJ7" s="10">
        <v>1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4</v>
      </c>
      <c r="BQ7" s="10">
        <v>0</v>
      </c>
      <c r="BR7" s="10">
        <v>2</v>
      </c>
      <c r="BS7" s="10">
        <v>13</v>
      </c>
    </row>
    <row r="8" spans="1:71" x14ac:dyDescent="0.55000000000000004">
      <c r="A8" s="10">
        <v>672</v>
      </c>
      <c r="B8" s="10">
        <v>2022</v>
      </c>
      <c r="C8" s="10">
        <v>10093</v>
      </c>
      <c r="D8" s="10">
        <v>0</v>
      </c>
      <c r="E8" s="10">
        <v>32266</v>
      </c>
      <c r="F8" s="10">
        <v>23539</v>
      </c>
      <c r="G8" s="10">
        <v>20577</v>
      </c>
      <c r="H8" s="10">
        <v>1561</v>
      </c>
      <c r="I8" s="10">
        <v>8121</v>
      </c>
      <c r="J8" s="10">
        <v>0</v>
      </c>
      <c r="K8" s="10">
        <v>85206</v>
      </c>
      <c r="L8" s="10">
        <v>1208</v>
      </c>
      <c r="M8" s="10">
        <v>14610</v>
      </c>
      <c r="N8" s="10">
        <v>3768</v>
      </c>
      <c r="O8" s="10">
        <v>10510</v>
      </c>
      <c r="P8" s="10">
        <v>32557</v>
      </c>
      <c r="Q8" s="10">
        <v>38490</v>
      </c>
      <c r="R8" s="10">
        <v>0</v>
      </c>
      <c r="S8" s="10">
        <v>194053</v>
      </c>
      <c r="T8" s="10">
        <v>88453</v>
      </c>
      <c r="U8" s="10">
        <v>28.746953333993858</v>
      </c>
      <c r="V8" s="10">
        <v>0</v>
      </c>
      <c r="W8" s="10">
        <v>0</v>
      </c>
      <c r="X8" s="10">
        <v>19.342713692431662</v>
      </c>
      <c r="Y8" s="10">
        <v>44.317133268193217</v>
      </c>
      <c r="Z8" s="10">
        <v>20.143655537736304</v>
      </c>
      <c r="AA8" s="10">
        <v>21.950672645739907</v>
      </c>
      <c r="AB8" s="10">
        <v>35.525920453146163</v>
      </c>
      <c r="AC8" s="10">
        <v>0</v>
      </c>
      <c r="AD8" s="10">
        <v>26.453348355749597</v>
      </c>
      <c r="AE8" s="10">
        <v>21.191225165562916</v>
      </c>
      <c r="AF8" s="10">
        <v>46.863928815879532</v>
      </c>
      <c r="AG8" s="10">
        <v>36.269108280254777</v>
      </c>
      <c r="AH8" s="10">
        <v>28.643101807802093</v>
      </c>
      <c r="AI8" s="10">
        <v>42.289062260036239</v>
      </c>
      <c r="AJ8" s="10">
        <v>62.284313725490193</v>
      </c>
      <c r="AK8" s="10">
        <v>40.314185502727987</v>
      </c>
      <c r="AL8" s="10">
        <v>0</v>
      </c>
      <c r="AM8" s="10">
        <v>0</v>
      </c>
      <c r="AN8" s="10">
        <v>4</v>
      </c>
      <c r="AO8" s="10">
        <v>10</v>
      </c>
      <c r="AP8" s="10">
        <v>1</v>
      </c>
      <c r="AQ8" s="10">
        <v>10</v>
      </c>
      <c r="AR8" s="10">
        <v>7</v>
      </c>
      <c r="AS8" s="10">
        <v>0</v>
      </c>
      <c r="AT8" s="10">
        <v>2</v>
      </c>
      <c r="AU8" s="10">
        <v>2</v>
      </c>
      <c r="AV8" s="10">
        <v>21</v>
      </c>
      <c r="AW8" s="10">
        <v>0</v>
      </c>
      <c r="AX8" s="10">
        <v>7</v>
      </c>
      <c r="AY8" s="10">
        <v>2</v>
      </c>
      <c r="AZ8" s="10">
        <v>7</v>
      </c>
      <c r="BA8" s="10">
        <v>11</v>
      </c>
      <c r="BB8" s="10">
        <v>0</v>
      </c>
      <c r="BC8" s="10">
        <v>84</v>
      </c>
      <c r="BD8" s="10">
        <v>1</v>
      </c>
      <c r="BE8" s="10">
        <v>6</v>
      </c>
      <c r="BF8" s="10">
        <v>0</v>
      </c>
      <c r="BG8" s="10">
        <v>1</v>
      </c>
      <c r="BH8" s="10">
        <v>1</v>
      </c>
      <c r="BI8" s="10">
        <v>1</v>
      </c>
      <c r="BJ8" s="10">
        <v>2</v>
      </c>
      <c r="BK8" s="10">
        <v>1</v>
      </c>
      <c r="BL8" s="10">
        <v>8</v>
      </c>
      <c r="BM8" s="10">
        <v>0</v>
      </c>
      <c r="BN8" s="10">
        <v>1</v>
      </c>
      <c r="BO8" s="10">
        <v>0</v>
      </c>
      <c r="BP8" s="10">
        <v>4</v>
      </c>
      <c r="BQ8" s="10">
        <v>1</v>
      </c>
      <c r="BR8" s="10">
        <v>0</v>
      </c>
      <c r="BS8" s="10">
        <v>27</v>
      </c>
    </row>
    <row r="9" spans="1:71" x14ac:dyDescent="0.55000000000000004">
      <c r="A9" s="10" t="e">
        <v>#N/A</v>
      </c>
      <c r="B9" s="10">
        <v>2022</v>
      </c>
      <c r="C9" s="10">
        <v>15482</v>
      </c>
      <c r="D9" s="10">
        <v>0</v>
      </c>
      <c r="E9" s="10">
        <v>500</v>
      </c>
      <c r="F9" s="10">
        <v>0</v>
      </c>
      <c r="G9" s="10">
        <v>0</v>
      </c>
      <c r="H9" s="10">
        <v>0</v>
      </c>
      <c r="I9" s="10">
        <v>0</v>
      </c>
      <c r="J9" s="10">
        <v>200</v>
      </c>
      <c r="K9" s="10">
        <v>0</v>
      </c>
      <c r="L9" s="10">
        <v>0</v>
      </c>
      <c r="M9" s="10">
        <v>200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15882</v>
      </c>
      <c r="T9" s="10">
        <v>500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5.5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7</v>
      </c>
      <c r="AY9" s="10">
        <v>0</v>
      </c>
      <c r="AZ9" s="10">
        <v>0</v>
      </c>
      <c r="BA9" s="10">
        <v>0</v>
      </c>
      <c r="BB9" s="10">
        <v>0</v>
      </c>
      <c r="BC9" s="10">
        <v>7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</row>
    <row r="10" spans="1:71" x14ac:dyDescent="0.55000000000000004">
      <c r="A10" s="10">
        <v>147</v>
      </c>
      <c r="B10" s="10">
        <v>2022</v>
      </c>
      <c r="C10" s="10">
        <v>2147</v>
      </c>
      <c r="D10" s="10">
        <v>6501</v>
      </c>
      <c r="E10" s="10">
        <v>4438</v>
      </c>
      <c r="F10" s="10">
        <v>3230</v>
      </c>
      <c r="G10" s="10">
        <v>2172</v>
      </c>
      <c r="H10" s="10">
        <v>0</v>
      </c>
      <c r="I10" s="10">
        <v>6416</v>
      </c>
      <c r="J10" s="10">
        <v>0</v>
      </c>
      <c r="K10" s="10">
        <v>0</v>
      </c>
      <c r="L10" s="10">
        <v>847</v>
      </c>
      <c r="M10" s="10">
        <v>2418</v>
      </c>
      <c r="N10" s="10">
        <v>0</v>
      </c>
      <c r="O10" s="10">
        <v>0</v>
      </c>
      <c r="P10" s="10">
        <v>3470</v>
      </c>
      <c r="Q10" s="10">
        <v>0</v>
      </c>
      <c r="R10" s="10">
        <v>0</v>
      </c>
      <c r="S10" s="10">
        <v>21799</v>
      </c>
      <c r="T10" s="10">
        <v>9840</v>
      </c>
      <c r="U10" s="10">
        <v>26.727526781555657</v>
      </c>
      <c r="V10" s="10">
        <v>27.939701584371637</v>
      </c>
      <c r="W10" s="10">
        <v>0</v>
      </c>
      <c r="X10" s="10">
        <v>24.119423163587204</v>
      </c>
      <c r="Y10" s="10">
        <v>26.481114551083589</v>
      </c>
      <c r="Z10" s="10">
        <v>22.099447513812155</v>
      </c>
      <c r="AA10" s="10">
        <v>0</v>
      </c>
      <c r="AB10" s="10">
        <v>41.74703865336658</v>
      </c>
      <c r="AC10" s="10">
        <v>0</v>
      </c>
      <c r="AD10" s="10">
        <v>0</v>
      </c>
      <c r="AE10" s="10">
        <v>30.399055489964578</v>
      </c>
      <c r="AF10" s="10">
        <v>48.327129859387917</v>
      </c>
      <c r="AG10" s="10">
        <v>0</v>
      </c>
      <c r="AH10" s="10">
        <v>0</v>
      </c>
      <c r="AI10" s="10">
        <v>45.644668587896255</v>
      </c>
      <c r="AJ10" s="10">
        <v>0</v>
      </c>
      <c r="AK10" s="10">
        <v>0</v>
      </c>
      <c r="AL10" s="10">
        <v>0</v>
      </c>
      <c r="AM10" s="10">
        <v>0</v>
      </c>
      <c r="AN10" s="10">
        <v>1</v>
      </c>
      <c r="AO10" s="10">
        <v>1</v>
      </c>
      <c r="AP10" s="10">
        <v>3</v>
      </c>
      <c r="AQ10" s="10">
        <v>2</v>
      </c>
      <c r="AR10" s="10">
        <v>1</v>
      </c>
      <c r="AS10" s="10">
        <v>0</v>
      </c>
      <c r="AT10" s="10">
        <v>3</v>
      </c>
      <c r="AU10" s="10">
        <v>0</v>
      </c>
      <c r="AV10" s="10">
        <v>0</v>
      </c>
      <c r="AW10" s="10">
        <v>0</v>
      </c>
      <c r="AX10" s="10">
        <v>1</v>
      </c>
      <c r="AY10" s="10">
        <v>0</v>
      </c>
      <c r="AZ10" s="10">
        <v>2</v>
      </c>
      <c r="BA10" s="10">
        <v>0</v>
      </c>
      <c r="BB10" s="10">
        <v>0</v>
      </c>
      <c r="BC10" s="10">
        <v>14</v>
      </c>
      <c r="BD10" s="10">
        <v>0</v>
      </c>
      <c r="BE10" s="10">
        <v>2</v>
      </c>
      <c r="BF10" s="10">
        <v>2</v>
      </c>
      <c r="BG10" s="10">
        <v>0</v>
      </c>
      <c r="BH10" s="10">
        <v>0</v>
      </c>
      <c r="BI10" s="10">
        <v>0</v>
      </c>
      <c r="BJ10" s="10">
        <v>3</v>
      </c>
      <c r="BK10" s="10">
        <v>0</v>
      </c>
      <c r="BL10" s="10">
        <v>0</v>
      </c>
      <c r="BM10" s="10">
        <v>1</v>
      </c>
      <c r="BN10" s="10">
        <v>0</v>
      </c>
      <c r="BO10" s="10">
        <v>0</v>
      </c>
      <c r="BP10" s="10">
        <v>1</v>
      </c>
      <c r="BQ10" s="10">
        <v>0</v>
      </c>
      <c r="BR10" s="10">
        <v>0</v>
      </c>
      <c r="BS10" s="10">
        <v>9</v>
      </c>
    </row>
    <row r="11" spans="1:71" x14ac:dyDescent="0.55000000000000004">
      <c r="A11" s="10">
        <v>345</v>
      </c>
      <c r="B11" s="10">
        <v>2022</v>
      </c>
      <c r="C11" s="10">
        <v>5201</v>
      </c>
      <c r="D11" s="10">
        <v>7758</v>
      </c>
      <c r="E11" s="10">
        <v>8731</v>
      </c>
      <c r="F11" s="10">
        <v>3410</v>
      </c>
      <c r="G11" s="10">
        <v>6538</v>
      </c>
      <c r="H11" s="10">
        <v>2834</v>
      </c>
      <c r="I11" s="10">
        <v>4591</v>
      </c>
      <c r="J11" s="10">
        <v>0</v>
      </c>
      <c r="K11" s="10">
        <v>0</v>
      </c>
      <c r="L11" s="10">
        <v>1836</v>
      </c>
      <c r="M11" s="10">
        <v>5416</v>
      </c>
      <c r="N11" s="10">
        <v>0</v>
      </c>
      <c r="O11" s="10">
        <v>4998</v>
      </c>
      <c r="P11" s="10">
        <v>1826</v>
      </c>
      <c r="Q11" s="10">
        <v>4069</v>
      </c>
      <c r="R11" s="10">
        <v>2934</v>
      </c>
      <c r="S11" s="10">
        <v>33631</v>
      </c>
      <c r="T11" s="10">
        <v>26511</v>
      </c>
      <c r="U11" s="10">
        <v>25.971543933858875</v>
      </c>
      <c r="V11" s="10">
        <v>20.681747873163186</v>
      </c>
      <c r="W11" s="10">
        <v>0</v>
      </c>
      <c r="X11" s="10">
        <v>22.944450807467643</v>
      </c>
      <c r="Y11" s="10">
        <v>40.616715542521995</v>
      </c>
      <c r="Z11" s="10">
        <v>20.660446619761395</v>
      </c>
      <c r="AA11" s="10">
        <v>16.407904022582922</v>
      </c>
      <c r="AB11" s="10">
        <v>29.759965149204966</v>
      </c>
      <c r="AC11" s="10">
        <v>48.65946632782719</v>
      </c>
      <c r="AD11" s="10">
        <v>0</v>
      </c>
      <c r="AE11" s="10">
        <v>36.374183006535944</v>
      </c>
      <c r="AF11" s="10">
        <v>41.489290989660269</v>
      </c>
      <c r="AG11" s="10">
        <v>0</v>
      </c>
      <c r="AH11" s="10">
        <v>24.239495798319329</v>
      </c>
      <c r="AI11" s="10">
        <v>33.622124863088715</v>
      </c>
      <c r="AJ11" s="10">
        <v>61.067842605156038</v>
      </c>
      <c r="AK11" s="10">
        <v>31.480707790611945</v>
      </c>
      <c r="AL11" s="10">
        <v>27.435582822085891</v>
      </c>
      <c r="AM11" s="10">
        <v>36.625</v>
      </c>
      <c r="AN11" s="10">
        <v>3</v>
      </c>
      <c r="AO11" s="10">
        <v>1</v>
      </c>
      <c r="AP11" s="10">
        <v>4</v>
      </c>
      <c r="AQ11" s="10">
        <v>2</v>
      </c>
      <c r="AR11" s="10">
        <v>4</v>
      </c>
      <c r="AS11" s="10">
        <v>1</v>
      </c>
      <c r="AT11" s="10">
        <v>2</v>
      </c>
      <c r="AU11" s="10">
        <v>3</v>
      </c>
      <c r="AV11" s="10">
        <v>0</v>
      </c>
      <c r="AW11" s="10">
        <v>1</v>
      </c>
      <c r="AX11" s="10">
        <v>3</v>
      </c>
      <c r="AY11" s="10">
        <v>0</v>
      </c>
      <c r="AZ11" s="10">
        <v>2</v>
      </c>
      <c r="BA11" s="10">
        <v>2</v>
      </c>
      <c r="BB11" s="10">
        <v>3</v>
      </c>
      <c r="BC11" s="10">
        <v>31</v>
      </c>
      <c r="BD11" s="10">
        <v>1</v>
      </c>
      <c r="BE11" s="10">
        <v>1</v>
      </c>
      <c r="BF11" s="10">
        <v>5</v>
      </c>
      <c r="BG11" s="10">
        <v>5</v>
      </c>
      <c r="BH11" s="10">
        <v>1</v>
      </c>
      <c r="BI11" s="10">
        <v>0</v>
      </c>
      <c r="BJ11" s="10">
        <v>4</v>
      </c>
      <c r="BK11" s="10">
        <v>1</v>
      </c>
      <c r="BL11" s="10">
        <v>0</v>
      </c>
      <c r="BM11" s="10">
        <v>0</v>
      </c>
      <c r="BN11" s="10">
        <v>0</v>
      </c>
      <c r="BO11" s="10">
        <v>0</v>
      </c>
      <c r="BP11" s="10">
        <v>1</v>
      </c>
      <c r="BQ11" s="10">
        <v>1</v>
      </c>
      <c r="BR11" s="10">
        <v>1</v>
      </c>
      <c r="BS11" s="10">
        <v>21</v>
      </c>
    </row>
    <row r="12" spans="1:71" x14ac:dyDescent="0.55000000000000004">
      <c r="A12" s="10">
        <v>789</v>
      </c>
      <c r="B12" s="10">
        <v>2022</v>
      </c>
      <c r="C12" s="10">
        <v>3355</v>
      </c>
      <c r="D12" s="10">
        <v>10039</v>
      </c>
      <c r="E12" s="10">
        <v>0</v>
      </c>
      <c r="F12" s="10">
        <v>647</v>
      </c>
      <c r="G12" s="10">
        <v>0</v>
      </c>
      <c r="H12" s="10">
        <v>0</v>
      </c>
      <c r="I12" s="10">
        <v>8934</v>
      </c>
      <c r="J12" s="10">
        <v>0</v>
      </c>
      <c r="K12" s="10">
        <v>0</v>
      </c>
      <c r="L12" s="10">
        <v>1921</v>
      </c>
      <c r="M12" s="10">
        <v>2080</v>
      </c>
      <c r="N12" s="10">
        <v>0</v>
      </c>
      <c r="O12" s="10">
        <v>2144</v>
      </c>
      <c r="P12" s="10">
        <v>8533</v>
      </c>
      <c r="Q12" s="10">
        <v>2132</v>
      </c>
      <c r="R12" s="10">
        <v>868</v>
      </c>
      <c r="S12" s="10">
        <v>37862</v>
      </c>
      <c r="T12" s="10">
        <v>2791</v>
      </c>
      <c r="U12" s="10">
        <v>18.813412816691507</v>
      </c>
      <c r="V12" s="10">
        <v>27.994820201215258</v>
      </c>
      <c r="W12" s="10">
        <v>39.028927132918341</v>
      </c>
      <c r="X12" s="10">
        <v>0</v>
      </c>
      <c r="Y12" s="10">
        <v>61.605873261205559</v>
      </c>
      <c r="Z12" s="10">
        <v>0</v>
      </c>
      <c r="AA12" s="10">
        <v>0</v>
      </c>
      <c r="AB12" s="10">
        <v>39.445824938437426</v>
      </c>
      <c r="AC12" s="10">
        <v>58.549382716049386</v>
      </c>
      <c r="AD12" s="10">
        <v>0</v>
      </c>
      <c r="AE12" s="10">
        <v>0</v>
      </c>
      <c r="AF12" s="10">
        <v>61.590384615384615</v>
      </c>
      <c r="AG12" s="10">
        <v>0</v>
      </c>
      <c r="AH12" s="10">
        <v>26.220149253731343</v>
      </c>
      <c r="AI12" s="10">
        <v>43.4562287589359</v>
      </c>
      <c r="AJ12" s="10">
        <v>112.56060606060605</v>
      </c>
      <c r="AK12" s="10">
        <v>23.315196998123831</v>
      </c>
      <c r="AL12" s="10">
        <v>18.392857142857142</v>
      </c>
      <c r="AM12" s="10">
        <v>0</v>
      </c>
      <c r="AN12" s="10">
        <v>1</v>
      </c>
      <c r="AO12" s="10">
        <v>1</v>
      </c>
      <c r="AP12" s="10">
        <v>6</v>
      </c>
      <c r="AQ12" s="10">
        <v>0</v>
      </c>
      <c r="AR12" s="10">
        <v>0</v>
      </c>
      <c r="AS12" s="10">
        <v>0</v>
      </c>
      <c r="AT12" s="10">
        <v>4</v>
      </c>
      <c r="AU12" s="10">
        <v>1</v>
      </c>
      <c r="AV12" s="10">
        <v>0</v>
      </c>
      <c r="AW12" s="10">
        <v>1</v>
      </c>
      <c r="AX12" s="10">
        <v>1</v>
      </c>
      <c r="AY12" s="10">
        <v>0</v>
      </c>
      <c r="AZ12" s="10">
        <v>5</v>
      </c>
      <c r="BA12" s="10">
        <v>1</v>
      </c>
      <c r="BB12" s="10">
        <v>0</v>
      </c>
      <c r="BC12" s="10">
        <v>21</v>
      </c>
      <c r="BD12" s="10">
        <v>1</v>
      </c>
      <c r="BE12" s="10">
        <v>0</v>
      </c>
      <c r="BF12" s="10">
        <v>1</v>
      </c>
      <c r="BG12" s="10">
        <v>0</v>
      </c>
      <c r="BH12" s="10">
        <v>0</v>
      </c>
      <c r="BI12" s="10">
        <v>0</v>
      </c>
      <c r="BJ12" s="10">
        <v>2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1</v>
      </c>
      <c r="BQ12" s="10">
        <v>1</v>
      </c>
      <c r="BR12" s="10">
        <v>0</v>
      </c>
      <c r="BS12" s="10">
        <v>6</v>
      </c>
    </row>
    <row r="13" spans="1:71" x14ac:dyDescent="0.55000000000000004">
      <c r="A13" s="10">
        <v>674</v>
      </c>
      <c r="B13" s="10">
        <v>2022</v>
      </c>
      <c r="C13" s="10">
        <v>4162</v>
      </c>
      <c r="D13" s="10">
        <v>10303</v>
      </c>
      <c r="E13" s="10">
        <v>21672</v>
      </c>
      <c r="F13" s="10">
        <v>8005</v>
      </c>
      <c r="G13" s="10">
        <v>7553</v>
      </c>
      <c r="H13" s="10">
        <v>3956</v>
      </c>
      <c r="I13" s="10">
        <v>17182</v>
      </c>
      <c r="J13" s="10">
        <v>0</v>
      </c>
      <c r="K13" s="10">
        <v>0</v>
      </c>
      <c r="L13" s="10">
        <v>3859</v>
      </c>
      <c r="M13" s="10">
        <v>3776</v>
      </c>
      <c r="N13" s="10">
        <v>2338</v>
      </c>
      <c r="O13" s="10">
        <v>2445</v>
      </c>
      <c r="P13" s="10">
        <v>5977</v>
      </c>
      <c r="Q13" s="10">
        <v>2160</v>
      </c>
      <c r="R13" s="10">
        <v>10080</v>
      </c>
      <c r="S13" s="10">
        <v>59837</v>
      </c>
      <c r="T13" s="10">
        <v>43631</v>
      </c>
      <c r="U13" s="10">
        <v>27.256367131186931</v>
      </c>
      <c r="V13" s="10">
        <v>22.964864602542949</v>
      </c>
      <c r="W13" s="10">
        <v>47.225723362239201</v>
      </c>
      <c r="X13" s="10">
        <v>13.207548911037284</v>
      </c>
      <c r="Y13" s="10">
        <v>32.856964397251716</v>
      </c>
      <c r="Z13" s="10">
        <v>16.262279888785912</v>
      </c>
      <c r="AA13" s="10">
        <v>17.586450960566228</v>
      </c>
      <c r="AB13" s="10">
        <v>42.165231055756024</v>
      </c>
      <c r="AC13" s="10">
        <v>64.028846153846146</v>
      </c>
      <c r="AD13" s="10">
        <v>0</v>
      </c>
      <c r="AE13" s="10">
        <v>26.293599378077225</v>
      </c>
      <c r="AF13" s="10">
        <v>41.717161016949156</v>
      </c>
      <c r="AG13" s="10">
        <v>20.319076133447393</v>
      </c>
      <c r="AH13" s="10">
        <v>39.050306748466262</v>
      </c>
      <c r="AI13" s="10">
        <v>46.646980090346332</v>
      </c>
      <c r="AJ13" s="10">
        <v>62.763157894736835</v>
      </c>
      <c r="AK13" s="10">
        <v>38.32175925925926</v>
      </c>
      <c r="AL13" s="10">
        <v>26.9390873015873</v>
      </c>
      <c r="AM13" s="10">
        <v>0</v>
      </c>
      <c r="AN13" s="10">
        <v>1</v>
      </c>
      <c r="AO13" s="10">
        <v>4</v>
      </c>
      <c r="AP13" s="10">
        <v>1</v>
      </c>
      <c r="AQ13" s="10">
        <v>5</v>
      </c>
      <c r="AR13" s="10">
        <v>3</v>
      </c>
      <c r="AS13" s="10">
        <v>2</v>
      </c>
      <c r="AT13" s="10">
        <v>7</v>
      </c>
      <c r="AU13" s="10">
        <v>2</v>
      </c>
      <c r="AV13" s="10">
        <v>0</v>
      </c>
      <c r="AW13" s="10">
        <v>1</v>
      </c>
      <c r="AX13" s="10">
        <v>2</v>
      </c>
      <c r="AY13" s="10">
        <v>0</v>
      </c>
      <c r="AZ13" s="10">
        <v>1</v>
      </c>
      <c r="BA13" s="10">
        <v>1</v>
      </c>
      <c r="BB13" s="10">
        <v>3</v>
      </c>
      <c r="BC13" s="10">
        <v>33</v>
      </c>
      <c r="BD13" s="10">
        <v>0</v>
      </c>
      <c r="BE13" s="10">
        <v>2</v>
      </c>
      <c r="BF13" s="10">
        <v>15</v>
      </c>
      <c r="BG13" s="10">
        <v>22</v>
      </c>
      <c r="BH13" s="10">
        <v>0</v>
      </c>
      <c r="BI13" s="10">
        <v>1</v>
      </c>
      <c r="BJ13" s="10">
        <v>3</v>
      </c>
      <c r="BK13" s="10">
        <v>0</v>
      </c>
      <c r="BL13" s="10">
        <v>0</v>
      </c>
      <c r="BM13" s="10">
        <v>0</v>
      </c>
      <c r="BN13" s="10">
        <v>0</v>
      </c>
      <c r="BO13" s="10">
        <v>5</v>
      </c>
      <c r="BP13" s="10">
        <v>0</v>
      </c>
      <c r="BQ13" s="10">
        <v>0</v>
      </c>
      <c r="BR13" s="10">
        <v>4</v>
      </c>
      <c r="BS13" s="10">
        <v>52</v>
      </c>
    </row>
    <row r="14" spans="1:71" x14ac:dyDescent="0.55000000000000004">
      <c r="A14" s="10">
        <v>938</v>
      </c>
      <c r="B14" s="10">
        <v>2022</v>
      </c>
      <c r="C14" s="10">
        <v>1933</v>
      </c>
      <c r="D14" s="10">
        <v>10308</v>
      </c>
      <c r="E14" s="10">
        <v>9855</v>
      </c>
      <c r="F14" s="10">
        <v>2236</v>
      </c>
      <c r="G14" s="10">
        <v>3172</v>
      </c>
      <c r="H14" s="10">
        <v>1262</v>
      </c>
      <c r="I14" s="10">
        <v>3741</v>
      </c>
      <c r="J14" s="10">
        <v>0</v>
      </c>
      <c r="K14" s="10">
        <v>0</v>
      </c>
      <c r="L14" s="10">
        <v>1879</v>
      </c>
      <c r="M14" s="10">
        <v>3277</v>
      </c>
      <c r="N14" s="10">
        <v>4479</v>
      </c>
      <c r="O14" s="10">
        <v>2886</v>
      </c>
      <c r="P14" s="10">
        <v>12236</v>
      </c>
      <c r="Q14" s="10">
        <v>1190</v>
      </c>
      <c r="R14" s="10">
        <v>0</v>
      </c>
      <c r="S14" s="10">
        <v>39043</v>
      </c>
      <c r="T14" s="10">
        <v>19411</v>
      </c>
      <c r="U14" s="10">
        <v>27.147439213657528</v>
      </c>
      <c r="V14" s="10">
        <v>24.342743500194025</v>
      </c>
      <c r="W14" s="10">
        <v>34.529859262076833</v>
      </c>
      <c r="X14" s="10">
        <v>0</v>
      </c>
      <c r="Y14" s="10">
        <v>0</v>
      </c>
      <c r="Z14" s="10">
        <v>0</v>
      </c>
      <c r="AA14" s="10">
        <v>0</v>
      </c>
      <c r="AB14" s="10">
        <v>29.05399625768511</v>
      </c>
      <c r="AC14" s="10">
        <v>48.592515592515596</v>
      </c>
      <c r="AD14" s="10">
        <v>0</v>
      </c>
      <c r="AE14" s="10">
        <v>0</v>
      </c>
      <c r="AF14" s="10">
        <v>47.276472383277387</v>
      </c>
      <c r="AG14" s="10">
        <v>20.333110069211877</v>
      </c>
      <c r="AH14" s="10">
        <v>0</v>
      </c>
      <c r="AI14" s="10">
        <v>50.911000326904215</v>
      </c>
      <c r="AJ14" s="10">
        <v>79.934537246049658</v>
      </c>
      <c r="AK14" s="10">
        <v>40.798319327731086</v>
      </c>
      <c r="AL14" s="10">
        <v>0</v>
      </c>
      <c r="AM14" s="10">
        <v>0</v>
      </c>
      <c r="AN14" s="10">
        <v>1</v>
      </c>
      <c r="AO14" s="10">
        <v>0</v>
      </c>
      <c r="AP14" s="10">
        <v>3</v>
      </c>
      <c r="AQ14" s="10">
        <v>0</v>
      </c>
      <c r="AR14" s="10">
        <v>0</v>
      </c>
      <c r="AS14" s="10">
        <v>0</v>
      </c>
      <c r="AT14" s="10">
        <v>1</v>
      </c>
      <c r="AU14" s="10">
        <v>0</v>
      </c>
      <c r="AV14" s="10">
        <v>0</v>
      </c>
      <c r="AW14" s="10">
        <v>1</v>
      </c>
      <c r="AX14" s="10">
        <v>2</v>
      </c>
      <c r="AY14" s="10">
        <v>2</v>
      </c>
      <c r="AZ14" s="10">
        <v>3</v>
      </c>
      <c r="BA14" s="10">
        <v>1</v>
      </c>
      <c r="BB14" s="10">
        <v>0</v>
      </c>
      <c r="BC14" s="10">
        <v>14</v>
      </c>
      <c r="BD14" s="10">
        <v>0</v>
      </c>
      <c r="BE14" s="10">
        <v>0</v>
      </c>
      <c r="BF14" s="10">
        <v>2</v>
      </c>
      <c r="BG14" s="10">
        <v>0</v>
      </c>
      <c r="BH14" s="10">
        <v>0</v>
      </c>
      <c r="BI14" s="10">
        <v>0</v>
      </c>
      <c r="BJ14" s="10">
        <v>1</v>
      </c>
      <c r="BK14" s="10">
        <v>0</v>
      </c>
      <c r="BL14" s="10">
        <v>0</v>
      </c>
      <c r="BM14" s="10">
        <v>0</v>
      </c>
      <c r="BN14" s="10">
        <v>0</v>
      </c>
      <c r="BO14" s="10">
        <v>1</v>
      </c>
      <c r="BP14" s="10">
        <v>4</v>
      </c>
      <c r="BQ14" s="10">
        <v>0</v>
      </c>
      <c r="BR14" s="10">
        <v>0</v>
      </c>
      <c r="BS14" s="10">
        <v>8</v>
      </c>
    </row>
    <row r="15" spans="1:71" x14ac:dyDescent="0.55000000000000004">
      <c r="A15" s="10">
        <v>512</v>
      </c>
      <c r="B15" s="10">
        <v>2022</v>
      </c>
      <c r="C15" s="10">
        <v>55</v>
      </c>
      <c r="D15" s="10">
        <v>10649</v>
      </c>
      <c r="E15" s="10">
        <v>5018</v>
      </c>
      <c r="F15" s="10">
        <v>661</v>
      </c>
      <c r="G15" s="10">
        <v>12</v>
      </c>
      <c r="H15" s="10">
        <v>123</v>
      </c>
      <c r="I15" s="10">
        <v>1433</v>
      </c>
      <c r="J15" s="10">
        <v>592</v>
      </c>
      <c r="K15" s="10">
        <v>0</v>
      </c>
      <c r="L15" s="10">
        <v>1663</v>
      </c>
      <c r="M15" s="10">
        <v>1760</v>
      </c>
      <c r="N15" s="10">
        <v>541</v>
      </c>
      <c r="O15" s="10">
        <v>1527</v>
      </c>
      <c r="P15" s="10">
        <v>9915</v>
      </c>
      <c r="Q15" s="10">
        <v>978</v>
      </c>
      <c r="R15" s="10">
        <v>0</v>
      </c>
      <c r="S15" s="10">
        <v>27586</v>
      </c>
      <c r="T15" s="10">
        <v>7341</v>
      </c>
      <c r="U15" s="10">
        <v>27.509090909090908</v>
      </c>
      <c r="V15" s="10">
        <v>24.3265095314114</v>
      </c>
      <c r="W15" s="10">
        <v>0</v>
      </c>
      <c r="X15" s="10">
        <v>21.733359904344361</v>
      </c>
      <c r="Y15" s="10">
        <v>36.579425113464445</v>
      </c>
      <c r="Z15" s="10">
        <v>13.083333333333334</v>
      </c>
      <c r="AA15" s="10">
        <v>15.113821138211382</v>
      </c>
      <c r="AB15" s="10">
        <v>33.348220516399159</v>
      </c>
      <c r="AC15" s="10">
        <v>0</v>
      </c>
      <c r="AD15" s="10">
        <v>0</v>
      </c>
      <c r="AE15" s="10">
        <v>21.355381840048107</v>
      </c>
      <c r="AF15" s="10">
        <v>49.740340909090904</v>
      </c>
      <c r="AG15" s="10">
        <v>28.068391866913124</v>
      </c>
      <c r="AH15" s="10">
        <v>26.755730189914864</v>
      </c>
      <c r="AI15" s="10">
        <v>41.07574382249117</v>
      </c>
      <c r="AJ15" s="10">
        <v>0</v>
      </c>
      <c r="AK15" s="10">
        <v>27.566462167689163</v>
      </c>
      <c r="AL15" s="10">
        <v>0</v>
      </c>
      <c r="AM15" s="10">
        <v>0</v>
      </c>
      <c r="AN15" s="10">
        <v>0</v>
      </c>
      <c r="AO15" s="10">
        <v>2</v>
      </c>
      <c r="AP15" s="10">
        <v>17</v>
      </c>
      <c r="AQ15" s="10">
        <v>9</v>
      </c>
      <c r="AR15" s="10">
        <v>0</v>
      </c>
      <c r="AS15" s="10">
        <v>0</v>
      </c>
      <c r="AT15" s="10">
        <v>2</v>
      </c>
      <c r="AU15" s="10">
        <v>0</v>
      </c>
      <c r="AV15" s="10">
        <v>0</v>
      </c>
      <c r="AW15" s="10">
        <v>2</v>
      </c>
      <c r="AX15" s="10">
        <v>2</v>
      </c>
      <c r="AY15" s="10">
        <v>0</v>
      </c>
      <c r="AZ15" s="10">
        <v>6</v>
      </c>
      <c r="BA15" s="10">
        <v>2</v>
      </c>
      <c r="BB15" s="10">
        <v>0</v>
      </c>
      <c r="BC15" s="10">
        <v>42</v>
      </c>
      <c r="BD15" s="10">
        <v>0</v>
      </c>
      <c r="BE15" s="10">
        <v>0</v>
      </c>
      <c r="BF15" s="10">
        <v>3</v>
      </c>
      <c r="BG15" s="10">
        <v>2</v>
      </c>
      <c r="BH15" s="10">
        <v>0</v>
      </c>
      <c r="BI15" s="10">
        <v>0</v>
      </c>
      <c r="BJ15" s="10">
        <v>0</v>
      </c>
      <c r="BK15" s="10">
        <v>1</v>
      </c>
      <c r="BL15" s="10">
        <v>0</v>
      </c>
      <c r="BM15" s="10">
        <v>1</v>
      </c>
      <c r="BN15" s="10">
        <v>0</v>
      </c>
      <c r="BO15" s="10">
        <v>0</v>
      </c>
      <c r="BP15" s="10">
        <v>2</v>
      </c>
      <c r="BQ15" s="10">
        <v>0</v>
      </c>
      <c r="BR15" s="10">
        <v>0</v>
      </c>
      <c r="BS15" s="10">
        <v>9</v>
      </c>
    </row>
    <row r="16" spans="1:71" x14ac:dyDescent="0.55000000000000004">
      <c r="A16" s="10">
        <v>384</v>
      </c>
      <c r="B16" s="10">
        <v>2022</v>
      </c>
      <c r="C16" s="10">
        <v>2559</v>
      </c>
      <c r="D16" s="10">
        <v>11572</v>
      </c>
      <c r="E16" s="10">
        <v>8894</v>
      </c>
      <c r="F16" s="10">
        <v>5664</v>
      </c>
      <c r="G16" s="10">
        <v>6625</v>
      </c>
      <c r="H16" s="10">
        <v>2708</v>
      </c>
      <c r="I16" s="10">
        <v>6730</v>
      </c>
      <c r="J16" s="10">
        <v>0</v>
      </c>
      <c r="K16" s="10">
        <v>0</v>
      </c>
      <c r="L16" s="10">
        <v>0</v>
      </c>
      <c r="M16" s="10">
        <v>1542</v>
      </c>
      <c r="N16" s="10">
        <v>0</v>
      </c>
      <c r="O16" s="10">
        <v>1356</v>
      </c>
      <c r="P16" s="10">
        <v>2811</v>
      </c>
      <c r="Q16" s="10">
        <v>2062</v>
      </c>
      <c r="R16" s="10">
        <v>13515</v>
      </c>
      <c r="S16" s="10">
        <v>40791</v>
      </c>
      <c r="T16" s="10">
        <v>25247</v>
      </c>
      <c r="U16" s="10">
        <v>20.468933177022272</v>
      </c>
      <c r="V16" s="10">
        <v>21.582094711372275</v>
      </c>
      <c r="W16" s="10">
        <v>38.586206896551722</v>
      </c>
      <c r="X16" s="10">
        <v>19.377445468855409</v>
      </c>
      <c r="Y16" s="10">
        <v>54.655367231638415</v>
      </c>
      <c r="Z16" s="10">
        <v>19.631849056603773</v>
      </c>
      <c r="AA16" s="10">
        <v>16.646233382570163</v>
      </c>
      <c r="AB16" s="10">
        <v>35.602080237741454</v>
      </c>
      <c r="AC16" s="10">
        <v>51.34108527131783</v>
      </c>
      <c r="AD16" s="10">
        <v>0</v>
      </c>
      <c r="AE16" s="10">
        <v>0</v>
      </c>
      <c r="AF16" s="10">
        <v>53.950713359273671</v>
      </c>
      <c r="AG16" s="10">
        <v>0</v>
      </c>
      <c r="AH16" s="10">
        <v>23.252212389380528</v>
      </c>
      <c r="AI16" s="10">
        <v>42.200996086801851</v>
      </c>
      <c r="AJ16" s="10">
        <v>71.390243902439025</v>
      </c>
      <c r="AK16" s="10">
        <v>30.449563530552862</v>
      </c>
      <c r="AL16" s="10">
        <v>24.940140584535698</v>
      </c>
      <c r="AM16" s="10">
        <v>42.841880341880341</v>
      </c>
      <c r="AN16" s="10">
        <v>1</v>
      </c>
      <c r="AO16" s="10">
        <v>4</v>
      </c>
      <c r="AP16" s="10">
        <v>3</v>
      </c>
      <c r="AQ16" s="10">
        <v>4</v>
      </c>
      <c r="AR16" s="10">
        <v>2</v>
      </c>
      <c r="AS16" s="10">
        <v>1</v>
      </c>
      <c r="AT16" s="10">
        <v>3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1</v>
      </c>
      <c r="BA16" s="10">
        <v>1</v>
      </c>
      <c r="BB16" s="10">
        <v>5</v>
      </c>
      <c r="BC16" s="10">
        <v>25</v>
      </c>
      <c r="BD16" s="10">
        <v>1</v>
      </c>
      <c r="BE16" s="10">
        <v>0</v>
      </c>
      <c r="BF16" s="10">
        <v>2</v>
      </c>
      <c r="BG16" s="10">
        <v>2</v>
      </c>
      <c r="BH16" s="10">
        <v>1</v>
      </c>
      <c r="BI16" s="10">
        <v>1</v>
      </c>
      <c r="BJ16" s="10">
        <v>0</v>
      </c>
      <c r="BK16" s="10">
        <v>1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1</v>
      </c>
      <c r="BS16" s="10">
        <v>9</v>
      </c>
    </row>
    <row r="17" spans="1:71" x14ac:dyDescent="0.55000000000000004">
      <c r="A17" s="10">
        <v>801</v>
      </c>
      <c r="B17" s="10">
        <v>2022</v>
      </c>
      <c r="C17" s="10">
        <v>1522</v>
      </c>
      <c r="D17" s="10">
        <v>11590</v>
      </c>
      <c r="E17" s="10">
        <v>8527</v>
      </c>
      <c r="F17" s="10">
        <v>4191</v>
      </c>
      <c r="G17" s="10">
        <v>3130</v>
      </c>
      <c r="H17" s="10">
        <v>1630</v>
      </c>
      <c r="I17" s="10">
        <v>2419</v>
      </c>
      <c r="J17" s="10">
        <v>0</v>
      </c>
      <c r="K17" s="10">
        <v>0</v>
      </c>
      <c r="L17" s="10">
        <v>41</v>
      </c>
      <c r="M17" s="10">
        <v>2173</v>
      </c>
      <c r="N17" s="10">
        <v>0</v>
      </c>
      <c r="O17" s="10">
        <v>1391</v>
      </c>
      <c r="P17" s="10">
        <v>3649</v>
      </c>
      <c r="Q17" s="10">
        <v>0</v>
      </c>
      <c r="R17" s="10">
        <v>0</v>
      </c>
      <c r="S17" s="10">
        <v>21394</v>
      </c>
      <c r="T17" s="10">
        <v>18869</v>
      </c>
      <c r="U17" s="10">
        <v>16.512483574244413</v>
      </c>
      <c r="V17" s="10">
        <v>19.86755823986195</v>
      </c>
      <c r="W17" s="10">
        <v>33.883720930232556</v>
      </c>
      <c r="X17" s="10">
        <v>15.71643016301161</v>
      </c>
      <c r="Y17" s="10">
        <v>32.304939155332853</v>
      </c>
      <c r="Z17" s="10">
        <v>13.62779552715655</v>
      </c>
      <c r="AA17" s="10">
        <v>20.346012269938651</v>
      </c>
      <c r="AB17" s="10">
        <v>30.34477056634973</v>
      </c>
      <c r="AC17" s="10">
        <v>45.427852348993291</v>
      </c>
      <c r="AD17" s="10">
        <v>0</v>
      </c>
      <c r="AE17" s="10">
        <v>13.512195121951219</v>
      </c>
      <c r="AF17" s="10">
        <v>41.076392084675561</v>
      </c>
      <c r="AG17" s="10">
        <v>0</v>
      </c>
      <c r="AH17" s="10">
        <v>20.043134435657802</v>
      </c>
      <c r="AI17" s="10">
        <v>40.72458207728144</v>
      </c>
      <c r="AJ17" s="10">
        <v>61.176443629697523</v>
      </c>
      <c r="AK17" s="10">
        <v>0</v>
      </c>
      <c r="AL17" s="10">
        <v>0</v>
      </c>
      <c r="AM17" s="10">
        <v>0</v>
      </c>
      <c r="AN17" s="10">
        <v>0</v>
      </c>
      <c r="AO17" s="10">
        <v>1</v>
      </c>
      <c r="AP17" s="10">
        <v>7</v>
      </c>
      <c r="AQ17" s="10">
        <v>4</v>
      </c>
      <c r="AR17" s="10">
        <v>2</v>
      </c>
      <c r="AS17" s="10">
        <v>0</v>
      </c>
      <c r="AT17" s="10">
        <v>1</v>
      </c>
      <c r="AU17" s="10">
        <v>1</v>
      </c>
      <c r="AV17" s="10">
        <v>0</v>
      </c>
      <c r="AW17" s="10">
        <v>0</v>
      </c>
      <c r="AX17" s="10">
        <v>1</v>
      </c>
      <c r="AY17" s="10">
        <v>0</v>
      </c>
      <c r="AZ17" s="10">
        <v>1</v>
      </c>
      <c r="BA17" s="10">
        <v>1</v>
      </c>
      <c r="BB17" s="10">
        <v>0</v>
      </c>
      <c r="BC17" s="10">
        <v>19</v>
      </c>
      <c r="BD17" s="10">
        <v>0</v>
      </c>
      <c r="BE17" s="10">
        <v>0</v>
      </c>
      <c r="BF17" s="10">
        <v>2</v>
      </c>
      <c r="BG17" s="10">
        <v>1</v>
      </c>
      <c r="BH17" s="10">
        <v>0</v>
      </c>
      <c r="BI17" s="10">
        <v>0</v>
      </c>
      <c r="BJ17" s="10">
        <v>0</v>
      </c>
      <c r="BK17" s="10">
        <v>1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4</v>
      </c>
    </row>
    <row r="18" spans="1:71" x14ac:dyDescent="0.55000000000000004">
      <c r="A18" s="10">
        <v>290</v>
      </c>
      <c r="B18" s="10">
        <v>2022</v>
      </c>
      <c r="C18" s="10">
        <v>4605</v>
      </c>
      <c r="D18" s="10">
        <v>11752</v>
      </c>
      <c r="E18" s="10">
        <v>8211</v>
      </c>
      <c r="F18" s="10">
        <v>2036</v>
      </c>
      <c r="G18" s="10">
        <v>5140</v>
      </c>
      <c r="H18" s="10">
        <v>2272</v>
      </c>
      <c r="I18" s="10">
        <v>7773</v>
      </c>
      <c r="J18" s="10">
        <v>0</v>
      </c>
      <c r="K18" s="10">
        <v>0</v>
      </c>
      <c r="L18" s="10">
        <v>1613</v>
      </c>
      <c r="M18" s="10">
        <v>5440</v>
      </c>
      <c r="N18" s="10">
        <v>0</v>
      </c>
      <c r="O18" s="10">
        <v>3852</v>
      </c>
      <c r="P18" s="10">
        <v>2562</v>
      </c>
      <c r="Q18" s="10">
        <v>613</v>
      </c>
      <c r="R18" s="10">
        <v>2181</v>
      </c>
      <c r="S18" s="10">
        <v>36539</v>
      </c>
      <c r="T18" s="10">
        <v>21511</v>
      </c>
      <c r="U18" s="10">
        <v>21.072095548317044</v>
      </c>
      <c r="V18" s="10">
        <v>23.025867937372361</v>
      </c>
      <c r="W18" s="10">
        <v>33.464829526646803</v>
      </c>
      <c r="X18" s="10">
        <v>16.604676653270001</v>
      </c>
      <c r="Y18" s="10">
        <v>43.692534381139488</v>
      </c>
      <c r="Z18" s="10">
        <v>14.469844357976653</v>
      </c>
      <c r="AA18" s="10">
        <v>13.288292253521126</v>
      </c>
      <c r="AB18" s="10">
        <v>32.209314293065738</v>
      </c>
      <c r="AC18" s="10">
        <v>51.149722735674679</v>
      </c>
      <c r="AD18" s="10">
        <v>0</v>
      </c>
      <c r="AE18" s="10">
        <v>23.342219466831988</v>
      </c>
      <c r="AF18" s="10">
        <v>41.554411764705883</v>
      </c>
      <c r="AG18" s="10">
        <v>0</v>
      </c>
      <c r="AH18" s="10">
        <v>23.739615784008308</v>
      </c>
      <c r="AI18" s="10">
        <v>31.03590944574551</v>
      </c>
      <c r="AJ18" s="10">
        <v>90.171014492753613</v>
      </c>
      <c r="AK18" s="10">
        <v>32.851549755301797</v>
      </c>
      <c r="AL18" s="10">
        <v>24.222833562585969</v>
      </c>
      <c r="AM18" s="10">
        <v>0</v>
      </c>
      <c r="AN18" s="10">
        <v>2</v>
      </c>
      <c r="AO18" s="10">
        <v>2</v>
      </c>
      <c r="AP18" s="10">
        <v>5</v>
      </c>
      <c r="AQ18" s="10">
        <v>6</v>
      </c>
      <c r="AR18" s="10">
        <v>2</v>
      </c>
      <c r="AS18" s="10">
        <v>1</v>
      </c>
      <c r="AT18" s="10">
        <v>2</v>
      </c>
      <c r="AU18" s="10">
        <v>2</v>
      </c>
      <c r="AV18" s="10">
        <v>0</v>
      </c>
      <c r="AW18" s="10">
        <v>1</v>
      </c>
      <c r="AX18" s="10">
        <v>3</v>
      </c>
      <c r="AY18" s="10">
        <v>0</v>
      </c>
      <c r="AZ18" s="10">
        <v>1</v>
      </c>
      <c r="BA18" s="10">
        <v>0</v>
      </c>
      <c r="BB18" s="10">
        <v>2</v>
      </c>
      <c r="BC18" s="10">
        <v>29</v>
      </c>
      <c r="BD18" s="10">
        <v>0</v>
      </c>
      <c r="BE18" s="10">
        <v>0</v>
      </c>
      <c r="BF18" s="10">
        <v>0</v>
      </c>
      <c r="BG18" s="10">
        <v>3</v>
      </c>
      <c r="BH18" s="10">
        <v>0</v>
      </c>
      <c r="BI18" s="10">
        <v>1</v>
      </c>
      <c r="BJ18" s="10">
        <v>2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6</v>
      </c>
    </row>
    <row r="19" spans="1:71" x14ac:dyDescent="0.55000000000000004">
      <c r="A19" s="10">
        <v>452</v>
      </c>
      <c r="B19" s="10">
        <v>2022</v>
      </c>
      <c r="C19" s="10">
        <v>3891</v>
      </c>
      <c r="D19" s="10">
        <v>12379</v>
      </c>
      <c r="E19" s="10">
        <v>7989</v>
      </c>
      <c r="F19" s="10">
        <v>1217</v>
      </c>
      <c r="G19" s="10">
        <v>2395</v>
      </c>
      <c r="H19" s="10">
        <v>2535</v>
      </c>
      <c r="I19" s="10">
        <v>6080</v>
      </c>
      <c r="J19" s="10">
        <v>0</v>
      </c>
      <c r="K19" s="10">
        <v>0</v>
      </c>
      <c r="L19" s="10">
        <v>779</v>
      </c>
      <c r="M19" s="10">
        <v>1929</v>
      </c>
      <c r="N19" s="10">
        <v>0</v>
      </c>
      <c r="O19" s="10">
        <v>3503</v>
      </c>
      <c r="P19" s="10">
        <v>4304</v>
      </c>
      <c r="Q19" s="10">
        <v>1943</v>
      </c>
      <c r="R19" s="10">
        <v>8561</v>
      </c>
      <c r="S19" s="10">
        <v>39866</v>
      </c>
      <c r="T19" s="10">
        <v>17639</v>
      </c>
      <c r="U19" s="10">
        <v>13.729632485222307</v>
      </c>
      <c r="V19" s="10">
        <v>22.703449390096129</v>
      </c>
      <c r="W19" s="10">
        <v>30.606896551724141</v>
      </c>
      <c r="X19" s="10">
        <v>18.72111653523595</v>
      </c>
      <c r="Y19" s="10">
        <v>23.05341002465078</v>
      </c>
      <c r="Z19" s="10">
        <v>12.470563674321504</v>
      </c>
      <c r="AA19" s="10">
        <v>14.136489151873768</v>
      </c>
      <c r="AB19" s="10">
        <v>28.718092105263157</v>
      </c>
      <c r="AC19" s="10">
        <v>0</v>
      </c>
      <c r="AD19" s="10">
        <v>0</v>
      </c>
      <c r="AE19" s="10">
        <v>20.933247753530168</v>
      </c>
      <c r="AF19" s="10">
        <v>43.996371176775533</v>
      </c>
      <c r="AG19" s="10">
        <v>0</v>
      </c>
      <c r="AH19" s="10">
        <v>20.926348843848128</v>
      </c>
      <c r="AI19" s="10">
        <v>44.963057620817843</v>
      </c>
      <c r="AJ19" s="10">
        <v>60.72528301886792</v>
      </c>
      <c r="AK19" s="10">
        <v>33.752444673185799</v>
      </c>
      <c r="AL19" s="10">
        <v>23.698166102090877</v>
      </c>
      <c r="AM19" s="10">
        <v>0</v>
      </c>
      <c r="AN19" s="10">
        <v>2</v>
      </c>
      <c r="AO19" s="10">
        <v>1</v>
      </c>
      <c r="AP19" s="10">
        <v>6</v>
      </c>
      <c r="AQ19" s="10">
        <v>4</v>
      </c>
      <c r="AR19" s="10">
        <v>1</v>
      </c>
      <c r="AS19" s="10">
        <v>1</v>
      </c>
      <c r="AT19" s="10">
        <v>2</v>
      </c>
      <c r="AU19" s="10">
        <v>2</v>
      </c>
      <c r="AV19" s="10">
        <v>0</v>
      </c>
      <c r="AW19" s="10">
        <v>0</v>
      </c>
      <c r="AX19" s="10">
        <v>1</v>
      </c>
      <c r="AY19" s="10">
        <v>0</v>
      </c>
      <c r="AZ19" s="10">
        <v>4</v>
      </c>
      <c r="BA19" s="10">
        <v>1</v>
      </c>
      <c r="BB19" s="10">
        <v>4</v>
      </c>
      <c r="BC19" s="10">
        <v>29</v>
      </c>
      <c r="BD19" s="10">
        <v>1</v>
      </c>
      <c r="BE19" s="10">
        <v>0</v>
      </c>
      <c r="BF19" s="10">
        <v>2</v>
      </c>
      <c r="BG19" s="10">
        <v>11</v>
      </c>
      <c r="BH19" s="10">
        <v>0</v>
      </c>
      <c r="BI19" s="10">
        <v>0</v>
      </c>
      <c r="BJ19" s="10">
        <v>1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15</v>
      </c>
    </row>
    <row r="20" spans="1:71" x14ac:dyDescent="0.55000000000000004">
      <c r="A20" s="10">
        <v>412</v>
      </c>
      <c r="B20" s="10">
        <v>2022</v>
      </c>
      <c r="C20" s="10">
        <v>2390</v>
      </c>
      <c r="D20" s="10">
        <v>12444</v>
      </c>
      <c r="E20" s="10">
        <v>8694</v>
      </c>
      <c r="F20" s="10">
        <v>2893</v>
      </c>
      <c r="G20" s="10">
        <v>1943</v>
      </c>
      <c r="H20" s="10">
        <v>637</v>
      </c>
      <c r="I20" s="10">
        <v>10920</v>
      </c>
      <c r="J20" s="10">
        <v>540</v>
      </c>
      <c r="K20" s="10">
        <v>0</v>
      </c>
      <c r="L20" s="10">
        <v>3829</v>
      </c>
      <c r="M20" s="10">
        <v>6420</v>
      </c>
      <c r="N20" s="10">
        <v>0</v>
      </c>
      <c r="O20" s="10">
        <v>1758</v>
      </c>
      <c r="P20" s="10">
        <v>671</v>
      </c>
      <c r="Q20" s="10">
        <v>1479</v>
      </c>
      <c r="R20" s="10">
        <v>1648</v>
      </c>
      <c r="S20" s="10">
        <v>40341</v>
      </c>
      <c r="T20" s="10">
        <v>15925</v>
      </c>
      <c r="U20" s="10">
        <v>19.140167364016737</v>
      </c>
      <c r="V20" s="10">
        <v>18.225731276117003</v>
      </c>
      <c r="W20" s="10">
        <v>37.696254071661237</v>
      </c>
      <c r="X20" s="10">
        <v>15.170002300437083</v>
      </c>
      <c r="Y20" s="10">
        <v>37.345661942620119</v>
      </c>
      <c r="Z20" s="10">
        <v>13.97323726196603</v>
      </c>
      <c r="AA20" s="10">
        <v>13.53375196232339</v>
      </c>
      <c r="AB20" s="10">
        <v>26.564285714285713</v>
      </c>
      <c r="AC20" s="10">
        <v>82.247519294377057</v>
      </c>
      <c r="AD20" s="10">
        <v>0</v>
      </c>
      <c r="AE20" s="10">
        <v>18.996604857665186</v>
      </c>
      <c r="AF20" s="10">
        <v>36.868847352024922</v>
      </c>
      <c r="AG20" s="10">
        <v>0</v>
      </c>
      <c r="AH20" s="10">
        <v>25.716723549488055</v>
      </c>
      <c r="AI20" s="10">
        <v>39.01788375558867</v>
      </c>
      <c r="AJ20" s="10">
        <v>62.31693989071038</v>
      </c>
      <c r="AK20" s="10">
        <v>26.546315077755242</v>
      </c>
      <c r="AL20" s="10">
        <v>18.57645631067961</v>
      </c>
      <c r="AM20" s="10">
        <v>0</v>
      </c>
      <c r="AN20" s="10">
        <v>1</v>
      </c>
      <c r="AO20" s="10">
        <v>2</v>
      </c>
      <c r="AP20" s="10">
        <v>5</v>
      </c>
      <c r="AQ20" s="10">
        <v>3</v>
      </c>
      <c r="AR20" s="10">
        <v>0</v>
      </c>
      <c r="AS20" s="10">
        <v>0</v>
      </c>
      <c r="AT20" s="10">
        <v>2</v>
      </c>
      <c r="AU20" s="10">
        <v>2</v>
      </c>
      <c r="AV20" s="10">
        <v>0</v>
      </c>
      <c r="AW20" s="10">
        <v>1</v>
      </c>
      <c r="AX20" s="10">
        <v>2</v>
      </c>
      <c r="AY20" s="10">
        <v>0</v>
      </c>
      <c r="AZ20" s="10">
        <v>1</v>
      </c>
      <c r="BA20" s="10">
        <v>0</v>
      </c>
      <c r="BB20" s="10">
        <v>0</v>
      </c>
      <c r="BC20" s="10">
        <v>19</v>
      </c>
      <c r="BD20" s="10">
        <v>0</v>
      </c>
      <c r="BE20" s="10">
        <v>0</v>
      </c>
      <c r="BF20" s="10">
        <v>3</v>
      </c>
      <c r="BG20" s="10">
        <v>0</v>
      </c>
      <c r="BH20" s="10">
        <v>0</v>
      </c>
      <c r="BI20" s="10">
        <v>1</v>
      </c>
      <c r="BJ20" s="10">
        <v>2</v>
      </c>
      <c r="BK20" s="10">
        <v>0</v>
      </c>
      <c r="BL20" s="10">
        <v>0</v>
      </c>
      <c r="BM20" s="10">
        <v>1</v>
      </c>
      <c r="BN20" s="10">
        <v>0</v>
      </c>
      <c r="BO20" s="10">
        <v>0</v>
      </c>
      <c r="BP20" s="10">
        <v>0</v>
      </c>
      <c r="BQ20" s="10">
        <v>1</v>
      </c>
      <c r="BR20" s="10">
        <v>1</v>
      </c>
      <c r="BS20" s="10">
        <v>9</v>
      </c>
    </row>
    <row r="21" spans="1:71" x14ac:dyDescent="0.55000000000000004">
      <c r="A21" s="10">
        <v>761</v>
      </c>
      <c r="B21" s="10">
        <v>2022</v>
      </c>
      <c r="C21" s="10">
        <v>1009</v>
      </c>
      <c r="D21" s="10">
        <v>12553</v>
      </c>
      <c r="E21" s="10">
        <v>7183</v>
      </c>
      <c r="F21" s="10">
        <v>5590</v>
      </c>
      <c r="G21" s="10">
        <v>2807</v>
      </c>
      <c r="H21" s="10">
        <v>463</v>
      </c>
      <c r="I21" s="10">
        <v>834</v>
      </c>
      <c r="J21" s="10">
        <v>1935</v>
      </c>
      <c r="K21" s="10">
        <v>0</v>
      </c>
      <c r="L21" s="10">
        <v>1764</v>
      </c>
      <c r="M21" s="10">
        <v>2820</v>
      </c>
      <c r="N21" s="10">
        <v>0</v>
      </c>
      <c r="O21" s="10">
        <v>3978</v>
      </c>
      <c r="P21" s="10">
        <v>7186</v>
      </c>
      <c r="Q21" s="10">
        <v>345</v>
      </c>
      <c r="R21" s="10">
        <v>0</v>
      </c>
      <c r="S21" s="10">
        <v>28446</v>
      </c>
      <c r="T21" s="10">
        <v>20021</v>
      </c>
      <c r="U21" s="10">
        <v>23.293359762140732</v>
      </c>
      <c r="V21" s="10">
        <v>19.583605512626466</v>
      </c>
      <c r="W21" s="10">
        <v>32.514372321521897</v>
      </c>
      <c r="X21" s="10">
        <v>14.253932897118196</v>
      </c>
      <c r="Y21" s="10">
        <v>33.746690518783545</v>
      </c>
      <c r="Z21" s="10">
        <v>13.585322408265052</v>
      </c>
      <c r="AA21" s="10">
        <v>13.138228941684666</v>
      </c>
      <c r="AB21" s="10">
        <v>28.093525179856115</v>
      </c>
      <c r="AC21" s="10">
        <v>47.172604908946951</v>
      </c>
      <c r="AD21" s="10">
        <v>0</v>
      </c>
      <c r="AE21" s="10">
        <v>19.561224489795919</v>
      </c>
      <c r="AF21" s="10">
        <v>40.954609929078018</v>
      </c>
      <c r="AG21" s="10">
        <v>0</v>
      </c>
      <c r="AH21" s="10">
        <v>25.895927601809952</v>
      </c>
      <c r="AI21" s="10">
        <v>34.439743946562757</v>
      </c>
      <c r="AJ21" s="10">
        <v>52.85126859142607</v>
      </c>
      <c r="AK21" s="10">
        <v>27.715942028985506</v>
      </c>
      <c r="AL21" s="10">
        <v>0</v>
      </c>
      <c r="AM21" s="10">
        <v>0</v>
      </c>
      <c r="AN21" s="10">
        <v>0</v>
      </c>
      <c r="AO21" s="10">
        <v>2</v>
      </c>
      <c r="AP21" s="10">
        <v>4</v>
      </c>
      <c r="AQ21" s="10">
        <v>0</v>
      </c>
      <c r="AR21" s="10">
        <v>0</v>
      </c>
      <c r="AS21" s="10">
        <v>0</v>
      </c>
      <c r="AT21" s="10">
        <v>1</v>
      </c>
      <c r="AU21" s="10">
        <v>2</v>
      </c>
      <c r="AV21" s="10">
        <v>0</v>
      </c>
      <c r="AW21" s="10">
        <v>1</v>
      </c>
      <c r="AX21" s="10">
        <v>2</v>
      </c>
      <c r="AY21" s="10">
        <v>0</v>
      </c>
      <c r="AZ21" s="10">
        <v>0</v>
      </c>
      <c r="BA21" s="10">
        <v>0</v>
      </c>
      <c r="BB21" s="10">
        <v>0</v>
      </c>
      <c r="BC21" s="10">
        <v>12</v>
      </c>
      <c r="BD21" s="10">
        <v>2</v>
      </c>
      <c r="BE21" s="10">
        <v>0</v>
      </c>
      <c r="BF21" s="10">
        <v>2</v>
      </c>
      <c r="BG21" s="10">
        <v>3</v>
      </c>
      <c r="BH21" s="10">
        <v>2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1</v>
      </c>
      <c r="BQ21" s="10">
        <v>2</v>
      </c>
      <c r="BR21" s="10">
        <v>0</v>
      </c>
      <c r="BS21" s="10">
        <v>12</v>
      </c>
    </row>
    <row r="22" spans="1:71" x14ac:dyDescent="0.55000000000000004">
      <c r="A22" s="10">
        <v>636</v>
      </c>
      <c r="B22" s="10">
        <v>2022</v>
      </c>
      <c r="C22" s="10">
        <v>0</v>
      </c>
      <c r="D22" s="10">
        <v>12634</v>
      </c>
      <c r="E22" s="10">
        <v>3815</v>
      </c>
      <c r="F22" s="10">
        <v>3383</v>
      </c>
      <c r="G22" s="10">
        <v>1738</v>
      </c>
      <c r="H22" s="10">
        <v>0</v>
      </c>
      <c r="I22" s="10">
        <v>7773</v>
      </c>
      <c r="J22" s="10">
        <v>470</v>
      </c>
      <c r="K22" s="10">
        <v>0</v>
      </c>
      <c r="L22" s="10">
        <v>1063</v>
      </c>
      <c r="M22" s="10">
        <v>2612</v>
      </c>
      <c r="N22" s="10">
        <v>0</v>
      </c>
      <c r="O22" s="10">
        <v>551</v>
      </c>
      <c r="P22" s="10">
        <v>6529</v>
      </c>
      <c r="Q22" s="10">
        <v>3372</v>
      </c>
      <c r="R22" s="10">
        <v>0</v>
      </c>
      <c r="S22" s="10">
        <v>34453</v>
      </c>
      <c r="T22" s="10">
        <v>9487</v>
      </c>
      <c r="U22" s="10">
        <v>0</v>
      </c>
      <c r="V22" s="10">
        <v>26.015671996200727</v>
      </c>
      <c r="W22" s="10">
        <v>37.617304492512481</v>
      </c>
      <c r="X22" s="10">
        <v>25.874705111402356</v>
      </c>
      <c r="Y22" s="10">
        <v>33.630801064144251</v>
      </c>
      <c r="Z22" s="10">
        <v>18.467203682393556</v>
      </c>
      <c r="AA22" s="10">
        <v>0</v>
      </c>
      <c r="AB22" s="10">
        <v>34.696384922166473</v>
      </c>
      <c r="AC22" s="10">
        <v>50.70779220779221</v>
      </c>
      <c r="AD22" s="10">
        <v>0</v>
      </c>
      <c r="AE22" s="10">
        <v>25.279397930385702</v>
      </c>
      <c r="AF22" s="10">
        <v>49.807427258805511</v>
      </c>
      <c r="AG22" s="10">
        <v>0</v>
      </c>
      <c r="AH22" s="10">
        <v>32.800362976406532</v>
      </c>
      <c r="AI22" s="10">
        <v>49.994026650329296</v>
      </c>
      <c r="AJ22" s="10">
        <v>67.058823529411768</v>
      </c>
      <c r="AK22" s="10">
        <v>33.403914590747327</v>
      </c>
      <c r="AL22" s="10">
        <v>0</v>
      </c>
      <c r="AM22" s="10">
        <v>47.822008862629247</v>
      </c>
      <c r="AN22" s="10">
        <v>0</v>
      </c>
      <c r="AO22" s="10">
        <v>2</v>
      </c>
      <c r="AP22" s="10">
        <v>8</v>
      </c>
      <c r="AQ22" s="10">
        <v>3</v>
      </c>
      <c r="AR22" s="10">
        <v>0</v>
      </c>
      <c r="AS22" s="10">
        <v>0</v>
      </c>
      <c r="AT22" s="10">
        <v>3</v>
      </c>
      <c r="AU22" s="10">
        <v>0</v>
      </c>
      <c r="AV22" s="10">
        <v>0</v>
      </c>
      <c r="AW22" s="10">
        <v>0</v>
      </c>
      <c r="AX22" s="10">
        <v>1</v>
      </c>
      <c r="AY22" s="10">
        <v>0</v>
      </c>
      <c r="AZ22" s="10">
        <v>2</v>
      </c>
      <c r="BA22" s="10">
        <v>2</v>
      </c>
      <c r="BB22" s="10">
        <v>0</v>
      </c>
      <c r="BC22" s="10">
        <v>21</v>
      </c>
      <c r="BD22" s="10">
        <v>0</v>
      </c>
      <c r="BE22" s="10">
        <v>0</v>
      </c>
      <c r="BF22" s="10">
        <v>2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1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3</v>
      </c>
    </row>
    <row r="23" spans="1:71" x14ac:dyDescent="0.55000000000000004">
      <c r="A23" s="10" t="e">
        <v>#N/A</v>
      </c>
      <c r="B23" s="10">
        <v>2022</v>
      </c>
      <c r="C23" s="10">
        <v>5309</v>
      </c>
      <c r="D23" s="10">
        <v>13044</v>
      </c>
      <c r="E23" s="10">
        <v>0</v>
      </c>
      <c r="F23" s="10">
        <v>2080</v>
      </c>
      <c r="G23" s="10">
        <v>0</v>
      </c>
      <c r="H23" s="10">
        <v>0</v>
      </c>
      <c r="I23" s="10">
        <v>4998</v>
      </c>
      <c r="J23" s="10">
        <v>0</v>
      </c>
      <c r="K23" s="10">
        <v>0</v>
      </c>
      <c r="L23" s="10">
        <v>0</v>
      </c>
      <c r="M23" s="10">
        <v>3381</v>
      </c>
      <c r="N23" s="10">
        <v>0</v>
      </c>
      <c r="O23" s="10">
        <v>0</v>
      </c>
      <c r="P23" s="10">
        <v>4602</v>
      </c>
      <c r="Q23" s="10">
        <v>0</v>
      </c>
      <c r="R23" s="10">
        <v>2111</v>
      </c>
      <c r="S23" s="10">
        <v>33445</v>
      </c>
      <c r="T23" s="10">
        <v>2080</v>
      </c>
      <c r="U23" s="10">
        <v>21.641740440760969</v>
      </c>
      <c r="V23" s="10">
        <v>23.617601962588164</v>
      </c>
      <c r="W23" s="10">
        <v>34.373648996397321</v>
      </c>
      <c r="X23" s="10">
        <v>0</v>
      </c>
      <c r="Y23" s="10">
        <v>42.93028846153846</v>
      </c>
      <c r="Z23" s="10">
        <v>0</v>
      </c>
      <c r="AA23" s="10">
        <v>0</v>
      </c>
      <c r="AB23" s="10">
        <v>30.005602240896359</v>
      </c>
      <c r="AC23" s="10">
        <v>51.789002557544755</v>
      </c>
      <c r="AD23" s="10">
        <v>0</v>
      </c>
      <c r="AE23" s="10">
        <v>0</v>
      </c>
      <c r="AF23" s="10">
        <v>40.97633836143153</v>
      </c>
      <c r="AG23" s="10">
        <v>0</v>
      </c>
      <c r="AH23" s="10">
        <v>0</v>
      </c>
      <c r="AI23" s="10">
        <v>40.798565840938728</v>
      </c>
      <c r="AJ23" s="10">
        <v>62.81503378378379</v>
      </c>
      <c r="AK23" s="10">
        <v>0</v>
      </c>
      <c r="AL23" s="10">
        <v>24.820937944102322</v>
      </c>
      <c r="AM23" s="10">
        <v>0</v>
      </c>
      <c r="AN23" s="10">
        <v>1</v>
      </c>
      <c r="AO23" s="10">
        <v>1</v>
      </c>
      <c r="AP23" s="10">
        <v>4</v>
      </c>
      <c r="AQ23" s="10">
        <v>0</v>
      </c>
      <c r="AR23" s="10">
        <v>0</v>
      </c>
      <c r="AS23" s="10">
        <v>0</v>
      </c>
      <c r="AT23" s="10">
        <v>2</v>
      </c>
      <c r="AU23" s="10">
        <v>0</v>
      </c>
      <c r="AV23" s="10">
        <v>0</v>
      </c>
      <c r="AW23" s="10">
        <v>0</v>
      </c>
      <c r="AX23" s="10">
        <v>2</v>
      </c>
      <c r="AY23" s="10">
        <v>0</v>
      </c>
      <c r="AZ23" s="10">
        <v>2</v>
      </c>
      <c r="BA23" s="10">
        <v>0</v>
      </c>
      <c r="BB23" s="10">
        <v>1</v>
      </c>
      <c r="BC23" s="10">
        <v>13</v>
      </c>
      <c r="BD23" s="10">
        <v>1</v>
      </c>
      <c r="BE23" s="10">
        <v>0</v>
      </c>
      <c r="BF23" s="10">
        <v>5</v>
      </c>
      <c r="BG23" s="10">
        <v>0</v>
      </c>
      <c r="BH23" s="10">
        <v>0</v>
      </c>
      <c r="BI23" s="10">
        <v>0</v>
      </c>
      <c r="BJ23" s="10">
        <v>1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1</v>
      </c>
      <c r="BQ23" s="10">
        <v>0</v>
      </c>
      <c r="BR23" s="10">
        <v>0</v>
      </c>
      <c r="BS23" s="10">
        <v>8</v>
      </c>
    </row>
    <row r="24" spans="1:71" x14ac:dyDescent="0.55000000000000004">
      <c r="A24" s="10">
        <v>970</v>
      </c>
      <c r="B24" s="10">
        <v>2022</v>
      </c>
      <c r="C24" s="10">
        <v>7691</v>
      </c>
      <c r="D24" s="10">
        <v>14688</v>
      </c>
      <c r="E24" s="10">
        <v>15374</v>
      </c>
      <c r="F24" s="10">
        <v>9425</v>
      </c>
      <c r="G24" s="10">
        <v>7097</v>
      </c>
      <c r="H24" s="10">
        <v>3411</v>
      </c>
      <c r="I24" s="10">
        <v>6070</v>
      </c>
      <c r="J24" s="10">
        <v>0</v>
      </c>
      <c r="K24" s="10">
        <v>0</v>
      </c>
      <c r="L24" s="10">
        <v>1816</v>
      </c>
      <c r="M24" s="10">
        <v>5571</v>
      </c>
      <c r="N24" s="10">
        <v>7826</v>
      </c>
      <c r="O24" s="10">
        <v>4680</v>
      </c>
      <c r="P24" s="10">
        <v>8959</v>
      </c>
      <c r="Q24" s="10">
        <v>2108</v>
      </c>
      <c r="R24" s="10">
        <v>8526</v>
      </c>
      <c r="S24" s="10">
        <v>63255</v>
      </c>
      <c r="T24" s="10">
        <v>39987</v>
      </c>
      <c r="U24" s="10">
        <v>16.090885450526589</v>
      </c>
      <c r="V24" s="10">
        <v>16.218613834422658</v>
      </c>
      <c r="W24" s="10">
        <v>37.925774400935126</v>
      </c>
      <c r="X24" s="10">
        <v>15.255366202679848</v>
      </c>
      <c r="Y24" s="10">
        <v>30.90599469496021</v>
      </c>
      <c r="Z24" s="10">
        <v>11.185994082006482</v>
      </c>
      <c r="AA24" s="10">
        <v>11.97596012899443</v>
      </c>
      <c r="AB24" s="10">
        <v>23.435749588138385</v>
      </c>
      <c r="AC24" s="10">
        <v>50.694656488549619</v>
      </c>
      <c r="AD24" s="10">
        <v>0</v>
      </c>
      <c r="AE24" s="10">
        <v>16.592511013215859</v>
      </c>
      <c r="AF24" s="10">
        <v>37.742236582301203</v>
      </c>
      <c r="AG24" s="10">
        <v>17.680679785330948</v>
      </c>
      <c r="AH24" s="10">
        <v>16.76239316239316</v>
      </c>
      <c r="AI24" s="10">
        <v>57.776537559995539</v>
      </c>
      <c r="AJ24" s="10">
        <v>0</v>
      </c>
      <c r="AK24" s="10">
        <v>24.810246679316887</v>
      </c>
      <c r="AL24" s="10">
        <v>18.612948627726951</v>
      </c>
      <c r="AM24" s="10">
        <v>38.549632352941174</v>
      </c>
      <c r="AN24" s="10">
        <v>2</v>
      </c>
      <c r="AO24" s="10">
        <v>4</v>
      </c>
      <c r="AP24" s="10">
        <v>5</v>
      </c>
      <c r="AQ24" s="10">
        <v>5</v>
      </c>
      <c r="AR24" s="10">
        <v>3</v>
      </c>
      <c r="AS24" s="10">
        <v>2</v>
      </c>
      <c r="AT24" s="10">
        <v>1</v>
      </c>
      <c r="AU24" s="10">
        <v>1</v>
      </c>
      <c r="AV24" s="10">
        <v>0</v>
      </c>
      <c r="AW24" s="10">
        <v>1</v>
      </c>
      <c r="AX24" s="10">
        <v>2</v>
      </c>
      <c r="AY24" s="10">
        <v>2</v>
      </c>
      <c r="AZ24" s="10">
        <v>3</v>
      </c>
      <c r="BA24" s="10">
        <v>1</v>
      </c>
      <c r="BB24" s="10">
        <v>2</v>
      </c>
      <c r="BC24" s="10">
        <v>34</v>
      </c>
      <c r="BD24" s="10">
        <v>1</v>
      </c>
      <c r="BE24" s="10">
        <v>0</v>
      </c>
      <c r="BF24" s="10">
        <v>6</v>
      </c>
      <c r="BG24" s="10">
        <v>4</v>
      </c>
      <c r="BH24" s="10">
        <v>1</v>
      </c>
      <c r="BI24" s="10">
        <v>0</v>
      </c>
      <c r="BJ24" s="10">
        <v>5</v>
      </c>
      <c r="BK24" s="10">
        <v>2</v>
      </c>
      <c r="BL24" s="10">
        <v>0</v>
      </c>
      <c r="BM24" s="10">
        <v>1</v>
      </c>
      <c r="BN24" s="10">
        <v>1</v>
      </c>
      <c r="BO24" s="10">
        <v>4</v>
      </c>
      <c r="BP24" s="10">
        <v>3</v>
      </c>
      <c r="BQ24" s="10">
        <v>0</v>
      </c>
      <c r="BR24" s="10">
        <v>5</v>
      </c>
      <c r="BS24" s="10">
        <v>33</v>
      </c>
    </row>
    <row r="25" spans="1:71" x14ac:dyDescent="0.55000000000000004">
      <c r="A25" s="10" t="e">
        <v>#N/A</v>
      </c>
      <c r="B25" s="10">
        <v>2022</v>
      </c>
      <c r="C25" s="10">
        <v>5701</v>
      </c>
      <c r="D25" s="10">
        <v>14791</v>
      </c>
      <c r="E25" s="10">
        <v>4958</v>
      </c>
      <c r="F25" s="10">
        <v>2753</v>
      </c>
      <c r="G25" s="10">
        <v>1933</v>
      </c>
      <c r="H25" s="10">
        <v>0</v>
      </c>
      <c r="I25" s="10">
        <v>6168</v>
      </c>
      <c r="J25" s="10">
        <v>0</v>
      </c>
      <c r="K25" s="10">
        <v>0</v>
      </c>
      <c r="L25" s="10">
        <v>3371</v>
      </c>
      <c r="M25" s="10">
        <v>5839</v>
      </c>
      <c r="N25" s="10">
        <v>940</v>
      </c>
      <c r="O25" s="10">
        <v>0</v>
      </c>
      <c r="P25" s="10">
        <v>6992</v>
      </c>
      <c r="Q25" s="10">
        <v>0</v>
      </c>
      <c r="R25" s="10">
        <v>0</v>
      </c>
      <c r="S25" s="10">
        <v>43802</v>
      </c>
      <c r="T25" s="10">
        <v>9644</v>
      </c>
      <c r="U25" s="10">
        <v>21.591124364146644</v>
      </c>
      <c r="V25" s="10">
        <v>24.515921844364815</v>
      </c>
      <c r="W25" s="10">
        <v>39.960317460317455</v>
      </c>
      <c r="X25" s="10">
        <v>17.390883420734166</v>
      </c>
      <c r="Y25" s="10">
        <v>57.183436251362146</v>
      </c>
      <c r="Z25" s="10">
        <v>20.470253491981374</v>
      </c>
      <c r="AA25" s="10">
        <v>0</v>
      </c>
      <c r="AB25" s="10">
        <v>25.663261997405964</v>
      </c>
      <c r="AC25" s="10">
        <v>0</v>
      </c>
      <c r="AD25" s="10">
        <v>0</v>
      </c>
      <c r="AE25" s="10">
        <v>18.621773954316229</v>
      </c>
      <c r="AF25" s="10">
        <v>35.591197122794995</v>
      </c>
      <c r="AG25" s="10">
        <v>36.058510638297875</v>
      </c>
      <c r="AH25" s="10">
        <v>0</v>
      </c>
      <c r="AI25" s="10">
        <v>36.662757437070937</v>
      </c>
      <c r="AJ25" s="10">
        <v>0</v>
      </c>
      <c r="AK25" s="10">
        <v>0</v>
      </c>
      <c r="AL25" s="10">
        <v>0</v>
      </c>
      <c r="AM25" s="10">
        <v>0</v>
      </c>
      <c r="AN25" s="10">
        <v>2</v>
      </c>
      <c r="AO25" s="10">
        <v>3</v>
      </c>
      <c r="AP25" s="10">
        <v>7</v>
      </c>
      <c r="AQ25" s="10">
        <v>4</v>
      </c>
      <c r="AR25" s="10">
        <v>1</v>
      </c>
      <c r="AS25" s="10">
        <v>0</v>
      </c>
      <c r="AT25" s="10">
        <v>3</v>
      </c>
      <c r="AU25" s="10">
        <v>0</v>
      </c>
      <c r="AV25" s="10">
        <v>0</v>
      </c>
      <c r="AW25" s="10">
        <v>1</v>
      </c>
      <c r="AX25" s="10">
        <v>1</v>
      </c>
      <c r="AY25" s="10">
        <v>1</v>
      </c>
      <c r="AZ25" s="10">
        <v>3</v>
      </c>
      <c r="BA25" s="10">
        <v>0</v>
      </c>
      <c r="BB25" s="10">
        <v>0</v>
      </c>
      <c r="BC25" s="10">
        <v>26</v>
      </c>
      <c r="BD25" s="10">
        <v>3</v>
      </c>
      <c r="BE25" s="10">
        <v>0</v>
      </c>
      <c r="BF25" s="10">
        <v>9</v>
      </c>
      <c r="BG25" s="10">
        <v>11</v>
      </c>
      <c r="BH25" s="10">
        <v>1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24</v>
      </c>
    </row>
    <row r="26" spans="1:71" x14ac:dyDescent="0.55000000000000004">
      <c r="A26" s="10">
        <v>377</v>
      </c>
      <c r="B26" s="10">
        <v>2022</v>
      </c>
      <c r="C26" s="10">
        <v>1886</v>
      </c>
      <c r="D26" s="10">
        <v>14855</v>
      </c>
      <c r="E26" s="10">
        <v>0</v>
      </c>
      <c r="F26" s="10">
        <v>3505</v>
      </c>
      <c r="G26" s="10">
        <v>0</v>
      </c>
      <c r="H26" s="10">
        <v>0</v>
      </c>
      <c r="I26" s="10">
        <v>4629</v>
      </c>
      <c r="J26" s="10">
        <v>0</v>
      </c>
      <c r="K26" s="10">
        <v>0</v>
      </c>
      <c r="L26" s="10">
        <v>2246</v>
      </c>
      <c r="M26" s="10">
        <v>4164</v>
      </c>
      <c r="N26" s="10">
        <v>0</v>
      </c>
      <c r="O26" s="10">
        <v>2110</v>
      </c>
      <c r="P26" s="10">
        <v>6260</v>
      </c>
      <c r="Q26" s="10">
        <v>2172</v>
      </c>
      <c r="R26" s="10">
        <v>0</v>
      </c>
      <c r="S26" s="10">
        <v>36212</v>
      </c>
      <c r="T26" s="10">
        <v>5615</v>
      </c>
      <c r="U26" s="10">
        <v>19.507423117709436</v>
      </c>
      <c r="V26" s="10">
        <v>21.746886570178393</v>
      </c>
      <c r="W26" s="10">
        <v>50.816425120772941</v>
      </c>
      <c r="X26" s="10">
        <v>0</v>
      </c>
      <c r="Y26" s="10">
        <v>30.005706134094151</v>
      </c>
      <c r="Z26" s="10">
        <v>0</v>
      </c>
      <c r="AA26" s="10">
        <v>0</v>
      </c>
      <c r="AB26" s="10">
        <v>37.471808165910559</v>
      </c>
      <c r="AC26" s="10">
        <v>75.917366327883343</v>
      </c>
      <c r="AD26" s="10">
        <v>0</v>
      </c>
      <c r="AE26" s="10">
        <v>23.147373107747104</v>
      </c>
      <c r="AF26" s="10">
        <v>47.403218059558114</v>
      </c>
      <c r="AG26" s="10">
        <v>0</v>
      </c>
      <c r="AH26" s="10">
        <v>20.739336492890995</v>
      </c>
      <c r="AI26" s="10">
        <v>42.174440894568683</v>
      </c>
      <c r="AJ26" s="10">
        <v>4407</v>
      </c>
      <c r="AK26" s="10">
        <v>26.214548802946592</v>
      </c>
      <c r="AL26" s="10">
        <v>0</v>
      </c>
      <c r="AM26" s="10">
        <v>0</v>
      </c>
      <c r="AN26" s="10">
        <v>1</v>
      </c>
      <c r="AO26" s="10">
        <v>1</v>
      </c>
      <c r="AP26" s="10">
        <v>7</v>
      </c>
      <c r="AQ26" s="10">
        <v>0</v>
      </c>
      <c r="AR26" s="10">
        <v>0</v>
      </c>
      <c r="AS26" s="10">
        <v>0</v>
      </c>
      <c r="AT26" s="10">
        <v>2</v>
      </c>
      <c r="AU26" s="10">
        <v>1</v>
      </c>
      <c r="AV26" s="10">
        <v>0</v>
      </c>
      <c r="AW26" s="10">
        <v>1</v>
      </c>
      <c r="AX26" s="10">
        <v>0</v>
      </c>
      <c r="AY26" s="10">
        <v>0</v>
      </c>
      <c r="AZ26" s="10">
        <v>3</v>
      </c>
      <c r="BA26" s="10">
        <v>0</v>
      </c>
      <c r="BB26" s="10">
        <v>0</v>
      </c>
      <c r="BC26" s="10">
        <v>16</v>
      </c>
      <c r="BD26" s="10">
        <v>1</v>
      </c>
      <c r="BE26" s="10">
        <v>0</v>
      </c>
      <c r="BF26" s="10">
        <v>7</v>
      </c>
      <c r="BG26" s="10">
        <v>0</v>
      </c>
      <c r="BH26" s="10">
        <v>0</v>
      </c>
      <c r="BI26" s="10">
        <v>0</v>
      </c>
      <c r="BJ26" s="10">
        <v>2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10</v>
      </c>
    </row>
    <row r="27" spans="1:71" x14ac:dyDescent="0.55000000000000004">
      <c r="A27" s="10">
        <v>640</v>
      </c>
      <c r="B27" s="10">
        <v>2022</v>
      </c>
      <c r="C27" s="10">
        <v>5180</v>
      </c>
      <c r="D27" s="10">
        <v>14942</v>
      </c>
      <c r="E27" s="10">
        <v>10735</v>
      </c>
      <c r="F27" s="10">
        <v>1469</v>
      </c>
      <c r="G27" s="10">
        <v>4724</v>
      </c>
      <c r="H27" s="10">
        <v>1944</v>
      </c>
      <c r="I27" s="10">
        <v>4171</v>
      </c>
      <c r="J27" s="10">
        <v>0</v>
      </c>
      <c r="K27" s="10">
        <v>0</v>
      </c>
      <c r="L27" s="10">
        <v>0</v>
      </c>
      <c r="M27" s="10">
        <v>2070</v>
      </c>
      <c r="N27" s="10">
        <v>387</v>
      </c>
      <c r="O27" s="10">
        <v>2077</v>
      </c>
      <c r="P27" s="10">
        <v>8210</v>
      </c>
      <c r="Q27" s="10">
        <v>1771</v>
      </c>
      <c r="R27" s="10">
        <v>10102</v>
      </c>
      <c r="S27" s="10">
        <v>46833</v>
      </c>
      <c r="T27" s="10">
        <v>20949</v>
      </c>
      <c r="U27" s="10">
        <v>17.374131274131273</v>
      </c>
      <c r="V27" s="10">
        <v>18.439432472225938</v>
      </c>
      <c r="W27" s="10">
        <v>34.046828437633032</v>
      </c>
      <c r="X27" s="10">
        <v>17.08681881695389</v>
      </c>
      <c r="Y27" s="10">
        <v>44.742682096664396</v>
      </c>
      <c r="Z27" s="10">
        <v>14.07514817950889</v>
      </c>
      <c r="AA27" s="10">
        <v>15.87037037037037</v>
      </c>
      <c r="AB27" s="10">
        <v>25.661711819707502</v>
      </c>
      <c r="AC27" s="10">
        <v>52.560551287844554</v>
      </c>
      <c r="AD27" s="10">
        <v>0</v>
      </c>
      <c r="AE27" s="10">
        <v>0</v>
      </c>
      <c r="AF27" s="10">
        <v>39.395169082125605</v>
      </c>
      <c r="AG27" s="10">
        <v>13.255813953488373</v>
      </c>
      <c r="AH27" s="10">
        <v>22.676937891189215</v>
      </c>
      <c r="AI27" s="10">
        <v>33.218879415347132</v>
      </c>
      <c r="AJ27" s="10">
        <v>0</v>
      </c>
      <c r="AK27" s="10">
        <v>22.698475437605872</v>
      </c>
      <c r="AL27" s="10">
        <v>19.363789348643834</v>
      </c>
      <c r="AM27" s="10">
        <v>0</v>
      </c>
      <c r="AN27" s="10">
        <v>2</v>
      </c>
      <c r="AO27" s="10">
        <v>1</v>
      </c>
      <c r="AP27" s="10">
        <v>4</v>
      </c>
      <c r="AQ27" s="10">
        <v>3</v>
      </c>
      <c r="AR27" s="10">
        <v>2</v>
      </c>
      <c r="AS27" s="10">
        <v>1</v>
      </c>
      <c r="AT27" s="10">
        <v>1</v>
      </c>
      <c r="AU27" s="10">
        <v>1</v>
      </c>
      <c r="AV27" s="10">
        <v>0</v>
      </c>
      <c r="AW27" s="10">
        <v>0</v>
      </c>
      <c r="AX27" s="10">
        <v>1</v>
      </c>
      <c r="AY27" s="10">
        <v>0</v>
      </c>
      <c r="AZ27" s="10">
        <v>3</v>
      </c>
      <c r="BA27" s="10">
        <v>1</v>
      </c>
      <c r="BB27" s="10">
        <v>3</v>
      </c>
      <c r="BC27" s="10">
        <v>23</v>
      </c>
      <c r="BD27" s="10">
        <v>4</v>
      </c>
      <c r="BE27" s="10">
        <v>0</v>
      </c>
      <c r="BF27" s="10">
        <v>4</v>
      </c>
      <c r="BG27" s="10">
        <v>5</v>
      </c>
      <c r="BH27" s="10">
        <v>1</v>
      </c>
      <c r="BI27" s="10">
        <v>0</v>
      </c>
      <c r="BJ27" s="10">
        <v>0</v>
      </c>
      <c r="BK27" s="10">
        <v>0</v>
      </c>
      <c r="BL27" s="10">
        <v>0</v>
      </c>
      <c r="BM27" s="10">
        <v>0</v>
      </c>
      <c r="BN27" s="10">
        <v>0</v>
      </c>
      <c r="BO27" s="10">
        <v>1</v>
      </c>
      <c r="BP27" s="10">
        <v>2</v>
      </c>
      <c r="BQ27" s="10">
        <v>0</v>
      </c>
      <c r="BR27" s="10">
        <v>5</v>
      </c>
      <c r="BS27" s="10">
        <v>22</v>
      </c>
    </row>
    <row r="28" spans="1:71" x14ac:dyDescent="0.55000000000000004">
      <c r="A28" s="10">
        <v>222</v>
      </c>
      <c r="B28" s="10">
        <v>2022</v>
      </c>
      <c r="C28" s="10">
        <v>3379</v>
      </c>
      <c r="D28" s="10">
        <v>15221</v>
      </c>
      <c r="E28" s="10">
        <v>8944</v>
      </c>
      <c r="F28" s="10">
        <v>4317</v>
      </c>
      <c r="G28" s="10">
        <v>2835</v>
      </c>
      <c r="H28" s="10">
        <v>1501</v>
      </c>
      <c r="I28" s="10">
        <v>6038</v>
      </c>
      <c r="J28" s="10">
        <v>0</v>
      </c>
      <c r="K28" s="10">
        <v>0</v>
      </c>
      <c r="L28" s="10">
        <v>1002</v>
      </c>
      <c r="M28" s="10">
        <v>4374</v>
      </c>
      <c r="N28" s="10">
        <v>0</v>
      </c>
      <c r="O28" s="10">
        <v>2064</v>
      </c>
      <c r="P28" s="10">
        <v>2829</v>
      </c>
      <c r="Q28" s="10">
        <v>1466</v>
      </c>
      <c r="R28" s="10">
        <v>93</v>
      </c>
      <c r="S28" s="10">
        <v>34402</v>
      </c>
      <c r="T28" s="10">
        <v>19661</v>
      </c>
      <c r="U28" s="10">
        <v>16.53654927493341</v>
      </c>
      <c r="V28" s="10">
        <v>24.168977071151701</v>
      </c>
      <c r="W28" s="10">
        <v>40.999788000847992</v>
      </c>
      <c r="X28" s="10">
        <v>17.889870304114492</v>
      </c>
      <c r="Y28" s="10">
        <v>33.560806115357884</v>
      </c>
      <c r="Z28" s="10">
        <v>14.114638447971782</v>
      </c>
      <c r="AA28" s="10">
        <v>14.838107928047966</v>
      </c>
      <c r="AB28" s="10">
        <v>32.46671083140113</v>
      </c>
      <c r="AC28" s="10">
        <v>48.998622589531685</v>
      </c>
      <c r="AD28" s="10">
        <v>0</v>
      </c>
      <c r="AE28" s="10">
        <v>17.617764471057885</v>
      </c>
      <c r="AF28" s="10">
        <v>35.419981710105162</v>
      </c>
      <c r="AG28" s="10">
        <v>0</v>
      </c>
      <c r="AH28" s="10">
        <v>21.582848837209301</v>
      </c>
      <c r="AI28" s="10">
        <v>46.343584305408271</v>
      </c>
      <c r="AJ28" s="10">
        <v>71.715999999999994</v>
      </c>
      <c r="AK28" s="10">
        <v>21.336289222373807</v>
      </c>
      <c r="AL28" s="10">
        <v>16.881720430107524</v>
      </c>
      <c r="AM28" s="10">
        <v>40.469387755102048</v>
      </c>
      <c r="AN28" s="10">
        <v>1</v>
      </c>
      <c r="AO28" s="10">
        <v>2</v>
      </c>
      <c r="AP28" s="10">
        <v>2</v>
      </c>
      <c r="AQ28" s="10">
        <v>2</v>
      </c>
      <c r="AR28" s="10">
        <v>1</v>
      </c>
      <c r="AS28" s="10">
        <v>0</v>
      </c>
      <c r="AT28" s="10">
        <v>1</v>
      </c>
      <c r="AU28" s="10">
        <v>1</v>
      </c>
      <c r="AV28" s="10">
        <v>0</v>
      </c>
      <c r="AW28" s="10">
        <v>1</v>
      </c>
      <c r="AX28" s="10">
        <v>1</v>
      </c>
      <c r="AY28" s="10">
        <v>0</v>
      </c>
      <c r="AZ28" s="10">
        <v>1</v>
      </c>
      <c r="BA28" s="10">
        <v>0</v>
      </c>
      <c r="BB28" s="10">
        <v>0</v>
      </c>
      <c r="BC28" s="10">
        <v>13</v>
      </c>
      <c r="BD28" s="10">
        <v>2</v>
      </c>
      <c r="BE28" s="10">
        <v>0</v>
      </c>
      <c r="BF28" s="10">
        <v>8</v>
      </c>
      <c r="BG28" s="10">
        <v>4</v>
      </c>
      <c r="BH28" s="10">
        <v>1</v>
      </c>
      <c r="BI28" s="10">
        <v>2</v>
      </c>
      <c r="BJ28" s="10">
        <v>0</v>
      </c>
      <c r="BK28" s="10">
        <v>0</v>
      </c>
      <c r="BL28" s="10">
        <v>0</v>
      </c>
      <c r="BM28" s="10">
        <v>0</v>
      </c>
      <c r="BN28" s="10">
        <v>1</v>
      </c>
      <c r="BO28" s="10">
        <v>0</v>
      </c>
      <c r="BP28" s="10">
        <v>2</v>
      </c>
      <c r="BQ28" s="10">
        <v>1</v>
      </c>
      <c r="BR28" s="10">
        <v>0</v>
      </c>
      <c r="BS28" s="10">
        <v>21</v>
      </c>
    </row>
    <row r="29" spans="1:71" x14ac:dyDescent="0.55000000000000004">
      <c r="A29" s="10">
        <v>346</v>
      </c>
      <c r="B29" s="10">
        <v>2022</v>
      </c>
      <c r="C29" s="10">
        <v>3461</v>
      </c>
      <c r="D29" s="10">
        <v>15561</v>
      </c>
      <c r="E29" s="10">
        <v>9503</v>
      </c>
      <c r="F29" s="10">
        <v>3410</v>
      </c>
      <c r="G29" s="10">
        <v>2559</v>
      </c>
      <c r="H29" s="10">
        <v>1028</v>
      </c>
      <c r="I29" s="10">
        <v>8187</v>
      </c>
      <c r="J29" s="10">
        <v>0</v>
      </c>
      <c r="K29" s="10">
        <v>0</v>
      </c>
      <c r="L29" s="10">
        <v>424</v>
      </c>
      <c r="M29" s="10">
        <v>3793</v>
      </c>
      <c r="N29" s="10">
        <v>0</v>
      </c>
      <c r="O29" s="10">
        <v>1829</v>
      </c>
      <c r="P29" s="10">
        <v>6838</v>
      </c>
      <c r="Q29" s="10">
        <v>1756</v>
      </c>
      <c r="R29" s="10">
        <v>308</v>
      </c>
      <c r="S29" s="10">
        <v>40328</v>
      </c>
      <c r="T29" s="10">
        <v>18329</v>
      </c>
      <c r="U29" s="10">
        <v>22.004622941346433</v>
      </c>
      <c r="V29" s="10">
        <v>23.914015808752652</v>
      </c>
      <c r="W29" s="10">
        <v>33.491869918699187</v>
      </c>
      <c r="X29" s="10">
        <v>15.872566557929074</v>
      </c>
      <c r="Y29" s="10">
        <v>40.906451612903226</v>
      </c>
      <c r="Z29" s="10">
        <v>18.570926143024618</v>
      </c>
      <c r="AA29" s="10">
        <v>20.547665369649806</v>
      </c>
      <c r="AB29" s="10">
        <v>27.908513497007451</v>
      </c>
      <c r="AC29" s="10">
        <v>51.514522821576762</v>
      </c>
      <c r="AD29" s="10">
        <v>0</v>
      </c>
      <c r="AE29" s="10">
        <v>23.672169811320753</v>
      </c>
      <c r="AF29" s="10">
        <v>43.807012918534141</v>
      </c>
      <c r="AG29" s="10">
        <v>0</v>
      </c>
      <c r="AH29" s="10">
        <v>28.164024056861674</v>
      </c>
      <c r="AI29" s="10">
        <v>36.152676221117282</v>
      </c>
      <c r="AJ29" s="10">
        <v>0</v>
      </c>
      <c r="AK29" s="10">
        <v>35.781890660592254</v>
      </c>
      <c r="AL29" s="10">
        <v>31.5487012987013</v>
      </c>
      <c r="AM29" s="10">
        <v>0</v>
      </c>
      <c r="AN29" s="10">
        <v>1</v>
      </c>
      <c r="AO29" s="10">
        <v>2</v>
      </c>
      <c r="AP29" s="10">
        <v>5</v>
      </c>
      <c r="AQ29" s="10">
        <v>4</v>
      </c>
      <c r="AR29" s="10">
        <v>0</v>
      </c>
      <c r="AS29" s="10">
        <v>0</v>
      </c>
      <c r="AT29" s="10">
        <v>3</v>
      </c>
      <c r="AU29" s="10">
        <v>1</v>
      </c>
      <c r="AV29" s="10">
        <v>0</v>
      </c>
      <c r="AW29" s="10">
        <v>0</v>
      </c>
      <c r="AX29" s="10">
        <v>2</v>
      </c>
      <c r="AY29" s="10">
        <v>0</v>
      </c>
      <c r="AZ29" s="10">
        <v>3</v>
      </c>
      <c r="BA29" s="10">
        <v>1</v>
      </c>
      <c r="BB29" s="10">
        <v>0</v>
      </c>
      <c r="BC29" s="10">
        <v>22</v>
      </c>
      <c r="BD29" s="10">
        <v>1</v>
      </c>
      <c r="BE29" s="10">
        <v>0</v>
      </c>
      <c r="BF29" s="10">
        <v>5</v>
      </c>
      <c r="BG29" s="10">
        <v>1</v>
      </c>
      <c r="BH29" s="10">
        <v>2</v>
      </c>
      <c r="BI29" s="10">
        <v>3</v>
      </c>
      <c r="BJ29" s="10">
        <v>2</v>
      </c>
      <c r="BK29" s="10">
        <v>0</v>
      </c>
      <c r="BL29" s="10">
        <v>0</v>
      </c>
      <c r="BM29" s="10">
        <v>1</v>
      </c>
      <c r="BN29" s="10">
        <v>0</v>
      </c>
      <c r="BO29" s="10">
        <v>0</v>
      </c>
      <c r="BP29" s="10">
        <v>4</v>
      </c>
      <c r="BQ29" s="10">
        <v>0</v>
      </c>
      <c r="BR29" s="10">
        <v>0</v>
      </c>
      <c r="BS29" s="10">
        <v>19</v>
      </c>
    </row>
    <row r="30" spans="1:71" x14ac:dyDescent="0.55000000000000004">
      <c r="A30" s="10">
        <v>227</v>
      </c>
      <c r="B30" s="10">
        <v>2022</v>
      </c>
      <c r="C30" s="10">
        <v>6010</v>
      </c>
      <c r="D30" s="10">
        <v>15726</v>
      </c>
      <c r="E30" s="10">
        <v>13662</v>
      </c>
      <c r="F30" s="10">
        <v>4267</v>
      </c>
      <c r="G30" s="10">
        <v>1441</v>
      </c>
      <c r="H30" s="10">
        <v>1685</v>
      </c>
      <c r="I30" s="10">
        <v>5567</v>
      </c>
      <c r="J30" s="10">
        <v>0</v>
      </c>
      <c r="K30" s="10">
        <v>0</v>
      </c>
      <c r="L30" s="10">
        <v>0</v>
      </c>
      <c r="M30" s="10">
        <v>3849</v>
      </c>
      <c r="N30" s="10">
        <v>0</v>
      </c>
      <c r="O30" s="10">
        <v>2053</v>
      </c>
      <c r="P30" s="10">
        <v>7597</v>
      </c>
      <c r="Q30" s="10">
        <v>1100</v>
      </c>
      <c r="R30" s="10">
        <v>8053</v>
      </c>
      <c r="S30" s="10">
        <v>47902</v>
      </c>
      <c r="T30" s="10">
        <v>23108</v>
      </c>
      <c r="U30" s="10">
        <v>15.981198003327787</v>
      </c>
      <c r="V30" s="10">
        <v>20.377082538471321</v>
      </c>
      <c r="W30" s="10">
        <v>34.100093171835482</v>
      </c>
      <c r="X30" s="10">
        <v>14.957034109208021</v>
      </c>
      <c r="Y30" s="10">
        <v>32.002109210217952</v>
      </c>
      <c r="Z30" s="10">
        <v>12.517002081887577</v>
      </c>
      <c r="AA30" s="10">
        <v>16.755489614243324</v>
      </c>
      <c r="AB30" s="10">
        <v>22.486258307885755</v>
      </c>
      <c r="AC30" s="10">
        <v>0</v>
      </c>
      <c r="AD30" s="10">
        <v>0</v>
      </c>
      <c r="AE30" s="10">
        <v>0</v>
      </c>
      <c r="AF30" s="10">
        <v>38.542738373603534</v>
      </c>
      <c r="AG30" s="10">
        <v>0</v>
      </c>
      <c r="AH30" s="10">
        <v>25.098879688261082</v>
      </c>
      <c r="AI30" s="10">
        <v>38.76438067658286</v>
      </c>
      <c r="AJ30" s="10">
        <v>0</v>
      </c>
      <c r="AK30" s="10">
        <v>14.965454545454547</v>
      </c>
      <c r="AL30" s="10">
        <v>21.039985098720972</v>
      </c>
      <c r="AM30" s="10">
        <v>0</v>
      </c>
      <c r="AN30" s="10">
        <v>2</v>
      </c>
      <c r="AO30" s="10">
        <v>2</v>
      </c>
      <c r="AP30" s="10">
        <v>4</v>
      </c>
      <c r="AQ30" s="10">
        <v>3</v>
      </c>
      <c r="AR30" s="10">
        <v>1</v>
      </c>
      <c r="AS30" s="10">
        <v>1</v>
      </c>
      <c r="AT30" s="10">
        <v>4</v>
      </c>
      <c r="AU30" s="10">
        <v>1</v>
      </c>
      <c r="AV30" s="10">
        <v>0</v>
      </c>
      <c r="AW30" s="10">
        <v>0</v>
      </c>
      <c r="AX30" s="10">
        <v>2</v>
      </c>
      <c r="AY30" s="10">
        <v>0</v>
      </c>
      <c r="AZ30" s="10">
        <v>2</v>
      </c>
      <c r="BA30" s="10">
        <v>1</v>
      </c>
      <c r="BB30" s="10">
        <v>3</v>
      </c>
      <c r="BC30" s="10">
        <v>26</v>
      </c>
      <c r="BD30" s="10">
        <v>3</v>
      </c>
      <c r="BE30" s="10">
        <v>0</v>
      </c>
      <c r="BF30" s="10">
        <v>7</v>
      </c>
      <c r="BG30" s="10">
        <v>9</v>
      </c>
      <c r="BH30" s="10">
        <v>2</v>
      </c>
      <c r="BI30" s="10">
        <v>0</v>
      </c>
      <c r="BJ30" s="10">
        <v>1</v>
      </c>
      <c r="BK30" s="10">
        <v>0</v>
      </c>
      <c r="BL30" s="10">
        <v>0</v>
      </c>
      <c r="BM30" s="10">
        <v>0</v>
      </c>
      <c r="BN30" s="10">
        <v>0</v>
      </c>
      <c r="BO30" s="10">
        <v>0</v>
      </c>
      <c r="BP30" s="10">
        <v>2</v>
      </c>
      <c r="BQ30" s="10">
        <v>0</v>
      </c>
      <c r="BR30" s="10">
        <v>2</v>
      </c>
      <c r="BS30" s="10">
        <v>26</v>
      </c>
    </row>
    <row r="31" spans="1:71" x14ac:dyDescent="0.55000000000000004">
      <c r="A31" s="10">
        <v>777</v>
      </c>
      <c r="B31" s="10">
        <v>2022</v>
      </c>
      <c r="C31" s="10">
        <v>3375</v>
      </c>
      <c r="D31" s="10">
        <v>16371</v>
      </c>
      <c r="E31" s="10">
        <v>12005</v>
      </c>
      <c r="F31" s="10">
        <v>4577</v>
      </c>
      <c r="G31" s="10">
        <v>3832</v>
      </c>
      <c r="H31" s="10">
        <v>1595</v>
      </c>
      <c r="I31" s="10">
        <v>5538</v>
      </c>
      <c r="J31" s="10">
        <v>413</v>
      </c>
      <c r="K31" s="10">
        <v>0</v>
      </c>
      <c r="L31" s="10">
        <v>1877</v>
      </c>
      <c r="M31" s="10">
        <v>6194</v>
      </c>
      <c r="N31" s="10">
        <v>674</v>
      </c>
      <c r="O31" s="10">
        <v>3101</v>
      </c>
      <c r="P31" s="10">
        <v>6732</v>
      </c>
      <c r="Q31" s="10">
        <v>1954</v>
      </c>
      <c r="R31" s="10">
        <v>1911</v>
      </c>
      <c r="S31" s="10">
        <v>45039</v>
      </c>
      <c r="T31" s="10">
        <v>25110</v>
      </c>
      <c r="U31" s="10">
        <v>17.67525925925926</v>
      </c>
      <c r="V31" s="10">
        <v>17.053081668804595</v>
      </c>
      <c r="W31" s="10">
        <v>24.927538787023977</v>
      </c>
      <c r="X31" s="10">
        <v>12.51603498542274</v>
      </c>
      <c r="Y31" s="10">
        <v>37.136115359405721</v>
      </c>
      <c r="Z31" s="10">
        <v>16.533663883089769</v>
      </c>
      <c r="AA31" s="10">
        <v>12.152978056426331</v>
      </c>
      <c r="AB31" s="10">
        <v>27.113217768147344</v>
      </c>
      <c r="AC31" s="10">
        <v>46.722424242424246</v>
      </c>
      <c r="AD31" s="10">
        <v>0</v>
      </c>
      <c r="AE31" s="10">
        <v>18.876398508257857</v>
      </c>
      <c r="AF31" s="10">
        <v>43.282047142395868</v>
      </c>
      <c r="AG31" s="10">
        <v>18.85608308605341</v>
      </c>
      <c r="AH31" s="10">
        <v>25.662366978394065</v>
      </c>
      <c r="AI31" s="10">
        <v>33.992572786690431</v>
      </c>
      <c r="AJ31" s="10">
        <v>58.136522753792299</v>
      </c>
      <c r="AK31" s="10">
        <v>22.511770726714435</v>
      </c>
      <c r="AL31" s="10">
        <v>19.548927263212978</v>
      </c>
      <c r="AM31" s="10">
        <v>0</v>
      </c>
      <c r="AN31" s="10">
        <v>1</v>
      </c>
      <c r="AO31" s="10">
        <v>2</v>
      </c>
      <c r="AP31" s="10">
        <v>6</v>
      </c>
      <c r="AQ31" s="10">
        <v>6</v>
      </c>
      <c r="AR31" s="10">
        <v>0</v>
      </c>
      <c r="AS31" s="10">
        <v>0</v>
      </c>
      <c r="AT31" s="10">
        <v>0</v>
      </c>
      <c r="AU31" s="10">
        <v>3</v>
      </c>
      <c r="AV31" s="10">
        <v>0</v>
      </c>
      <c r="AW31" s="10">
        <v>0</v>
      </c>
      <c r="AX31" s="10">
        <v>2</v>
      </c>
      <c r="AY31" s="10">
        <v>0</v>
      </c>
      <c r="AZ31" s="10">
        <v>3</v>
      </c>
      <c r="BA31" s="10">
        <v>1</v>
      </c>
      <c r="BB31" s="10">
        <v>3</v>
      </c>
      <c r="BC31" s="10">
        <v>27</v>
      </c>
      <c r="BD31" s="10">
        <v>1</v>
      </c>
      <c r="BE31" s="10">
        <v>0</v>
      </c>
      <c r="BF31" s="10">
        <v>2</v>
      </c>
      <c r="BG31" s="10">
        <v>2</v>
      </c>
      <c r="BH31" s="10">
        <v>0</v>
      </c>
      <c r="BI31" s="10">
        <v>2</v>
      </c>
      <c r="BJ31" s="10">
        <v>3</v>
      </c>
      <c r="BK31" s="10">
        <v>1</v>
      </c>
      <c r="BL31" s="10">
        <v>0</v>
      </c>
      <c r="BM31" s="10">
        <v>2</v>
      </c>
      <c r="BN31" s="10">
        <v>0</v>
      </c>
      <c r="BO31" s="10">
        <v>1</v>
      </c>
      <c r="BP31" s="10">
        <v>2</v>
      </c>
      <c r="BQ31" s="10">
        <v>0</v>
      </c>
      <c r="BR31" s="10">
        <v>2</v>
      </c>
      <c r="BS31" s="10">
        <v>18</v>
      </c>
    </row>
    <row r="32" spans="1:71" x14ac:dyDescent="0.55000000000000004">
      <c r="A32" s="10">
        <v>528</v>
      </c>
      <c r="B32" s="10">
        <v>2022</v>
      </c>
      <c r="C32" s="10">
        <v>6515</v>
      </c>
      <c r="D32" s="10">
        <v>16382</v>
      </c>
      <c r="E32" s="10">
        <v>16167</v>
      </c>
      <c r="F32" s="10">
        <v>7733</v>
      </c>
      <c r="G32" s="10">
        <v>5059</v>
      </c>
      <c r="H32" s="10">
        <v>3729</v>
      </c>
      <c r="I32" s="10">
        <v>7757</v>
      </c>
      <c r="J32" s="10">
        <v>0</v>
      </c>
      <c r="K32" s="10">
        <v>0</v>
      </c>
      <c r="L32" s="10">
        <v>4079</v>
      </c>
      <c r="M32" s="10">
        <v>2514</v>
      </c>
      <c r="N32" s="10">
        <v>0</v>
      </c>
      <c r="O32" s="10">
        <v>4363</v>
      </c>
      <c r="P32" s="10">
        <v>6886</v>
      </c>
      <c r="Q32" s="10">
        <v>2086</v>
      </c>
      <c r="R32" s="10">
        <v>13978</v>
      </c>
      <c r="S32" s="10">
        <v>60197</v>
      </c>
      <c r="T32" s="10">
        <v>37051</v>
      </c>
      <c r="U32" s="10">
        <v>21.684267075978511</v>
      </c>
      <c r="V32" s="10">
        <v>22.758759614210717</v>
      </c>
      <c r="W32" s="10">
        <v>40.835051546391753</v>
      </c>
      <c r="X32" s="10">
        <v>10.789880621018124</v>
      </c>
      <c r="Y32" s="10">
        <v>29.311522048364154</v>
      </c>
      <c r="Z32" s="10">
        <v>18.790867760426963</v>
      </c>
      <c r="AA32" s="10">
        <v>18.880665057656209</v>
      </c>
      <c r="AB32" s="10">
        <v>33.2539641614026</v>
      </c>
      <c r="AC32" s="10">
        <v>66.416666666666671</v>
      </c>
      <c r="AD32" s="10">
        <v>0</v>
      </c>
      <c r="AE32" s="10">
        <v>24.385388575631282</v>
      </c>
      <c r="AF32" s="10">
        <v>52.036992840095458</v>
      </c>
      <c r="AG32" s="10">
        <v>0</v>
      </c>
      <c r="AH32" s="10">
        <v>15.226449690579875</v>
      </c>
      <c r="AI32" s="10">
        <v>35.896892245135056</v>
      </c>
      <c r="AJ32" s="10">
        <v>98.184444444444438</v>
      </c>
      <c r="AK32" s="10">
        <v>29.372003835091082</v>
      </c>
      <c r="AL32" s="10">
        <v>25.72378022606954</v>
      </c>
      <c r="AM32" s="10">
        <v>515.75</v>
      </c>
      <c r="AN32" s="10">
        <v>3</v>
      </c>
      <c r="AO32" s="10">
        <v>3</v>
      </c>
      <c r="AP32" s="10">
        <v>4</v>
      </c>
      <c r="AQ32" s="10">
        <v>5</v>
      </c>
      <c r="AR32" s="10">
        <v>2</v>
      </c>
      <c r="AS32" s="10">
        <v>4</v>
      </c>
      <c r="AT32" s="10">
        <v>4</v>
      </c>
      <c r="AU32" s="10">
        <v>3</v>
      </c>
      <c r="AV32" s="10">
        <v>0</v>
      </c>
      <c r="AW32" s="10">
        <v>2</v>
      </c>
      <c r="AX32" s="10">
        <v>1</v>
      </c>
      <c r="AY32" s="10">
        <v>0</v>
      </c>
      <c r="AZ32" s="10">
        <v>3</v>
      </c>
      <c r="BA32" s="10">
        <v>1</v>
      </c>
      <c r="BB32" s="10">
        <v>6</v>
      </c>
      <c r="BC32" s="10">
        <v>41</v>
      </c>
      <c r="BD32" s="10">
        <v>0</v>
      </c>
      <c r="BE32" s="10">
        <v>0</v>
      </c>
      <c r="BF32" s="10">
        <v>4</v>
      </c>
      <c r="BG32" s="10">
        <v>3</v>
      </c>
      <c r="BH32" s="10">
        <v>1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  <c r="BP32" s="10">
        <v>0</v>
      </c>
      <c r="BQ32" s="10">
        <v>0</v>
      </c>
      <c r="BR32" s="10">
        <v>1</v>
      </c>
      <c r="BS32" s="10">
        <v>9</v>
      </c>
    </row>
    <row r="33" spans="1:71" x14ac:dyDescent="0.55000000000000004">
      <c r="A33" s="10" t="e">
        <v>#N/A</v>
      </c>
      <c r="B33" s="10">
        <v>2022</v>
      </c>
      <c r="C33" s="10">
        <v>5765</v>
      </c>
      <c r="D33" s="10">
        <v>16430</v>
      </c>
      <c r="E33" s="10">
        <v>9781</v>
      </c>
      <c r="F33" s="10">
        <v>3753</v>
      </c>
      <c r="G33" s="10">
        <v>8964</v>
      </c>
      <c r="H33" s="10">
        <v>1913</v>
      </c>
      <c r="I33" s="10">
        <v>6115</v>
      </c>
      <c r="J33" s="10">
        <v>0</v>
      </c>
      <c r="K33" s="10">
        <v>0</v>
      </c>
      <c r="L33" s="10">
        <v>875</v>
      </c>
      <c r="M33" s="10">
        <v>5968</v>
      </c>
      <c r="N33" s="10">
        <v>0</v>
      </c>
      <c r="O33" s="10">
        <v>7501</v>
      </c>
      <c r="P33" s="10">
        <v>7651</v>
      </c>
      <c r="Q33" s="10">
        <v>1808</v>
      </c>
      <c r="R33" s="10">
        <v>16250</v>
      </c>
      <c r="S33" s="10">
        <v>60862</v>
      </c>
      <c r="T33" s="10">
        <v>31912</v>
      </c>
      <c r="U33" s="10">
        <v>18.633304423243711</v>
      </c>
      <c r="V33" s="10">
        <v>23.827449786975045</v>
      </c>
      <c r="W33" s="10">
        <v>23.954435483870967</v>
      </c>
      <c r="X33" s="10">
        <v>17.952867804927919</v>
      </c>
      <c r="Y33" s="10">
        <v>29.686650679456434</v>
      </c>
      <c r="Z33" s="10">
        <v>15.773650156180278</v>
      </c>
      <c r="AA33" s="10">
        <v>17.352326189231572</v>
      </c>
      <c r="AB33" s="10">
        <v>26.593131643499589</v>
      </c>
      <c r="AC33" s="10">
        <v>51.806364858807704</v>
      </c>
      <c r="AD33" s="10">
        <v>0</v>
      </c>
      <c r="AE33" s="10">
        <v>15.37142857142857</v>
      </c>
      <c r="AF33" s="10">
        <v>33.828585790884716</v>
      </c>
      <c r="AG33" s="10">
        <v>0</v>
      </c>
      <c r="AH33" s="10">
        <v>19.686041861085187</v>
      </c>
      <c r="AI33" s="10">
        <v>42.182067703568158</v>
      </c>
      <c r="AJ33" s="10">
        <v>62.058823529411768</v>
      </c>
      <c r="AK33" s="10">
        <v>40.8125</v>
      </c>
      <c r="AL33" s="10">
        <v>22.814215384615384</v>
      </c>
      <c r="AM33" s="10">
        <v>0</v>
      </c>
      <c r="AN33" s="10">
        <v>1</v>
      </c>
      <c r="AO33" s="10">
        <v>1</v>
      </c>
      <c r="AP33" s="10">
        <v>6</v>
      </c>
      <c r="AQ33" s="10">
        <v>5</v>
      </c>
      <c r="AR33" s="10">
        <v>0</v>
      </c>
      <c r="AS33" s="10">
        <v>4</v>
      </c>
      <c r="AT33" s="10">
        <v>2</v>
      </c>
      <c r="AU33" s="10">
        <v>3</v>
      </c>
      <c r="AV33" s="10">
        <v>0</v>
      </c>
      <c r="AW33" s="10">
        <v>1</v>
      </c>
      <c r="AX33" s="10">
        <v>1</v>
      </c>
      <c r="AY33" s="10">
        <v>0</v>
      </c>
      <c r="AZ33" s="10">
        <v>0</v>
      </c>
      <c r="BA33" s="10">
        <v>1</v>
      </c>
      <c r="BB33" s="10">
        <v>7</v>
      </c>
      <c r="BC33" s="10">
        <v>32</v>
      </c>
      <c r="BD33" s="10">
        <v>4</v>
      </c>
      <c r="BE33" s="10">
        <v>0</v>
      </c>
      <c r="BF33" s="10">
        <v>4</v>
      </c>
      <c r="BG33" s="10">
        <v>10</v>
      </c>
      <c r="BH33" s="10">
        <v>0</v>
      </c>
      <c r="BI33" s="10">
        <v>0</v>
      </c>
      <c r="BJ33" s="10">
        <v>2</v>
      </c>
      <c r="BK33" s="10">
        <v>3</v>
      </c>
      <c r="BL33" s="10">
        <v>0</v>
      </c>
      <c r="BM33" s="10">
        <v>0</v>
      </c>
      <c r="BN33" s="10">
        <v>0</v>
      </c>
      <c r="BO33" s="10">
        <v>0</v>
      </c>
      <c r="BP33" s="10">
        <v>4</v>
      </c>
      <c r="BQ33" s="10">
        <v>0</v>
      </c>
      <c r="BR33" s="10">
        <v>2</v>
      </c>
      <c r="BS33" s="10">
        <v>29</v>
      </c>
    </row>
    <row r="34" spans="1:71" x14ac:dyDescent="0.55000000000000004">
      <c r="A34" s="10">
        <v>387</v>
      </c>
      <c r="B34" s="10">
        <v>2022</v>
      </c>
      <c r="C34" s="10">
        <v>2148</v>
      </c>
      <c r="D34" s="10">
        <v>16472</v>
      </c>
      <c r="E34" s="10">
        <v>8205</v>
      </c>
      <c r="F34" s="10">
        <v>2441</v>
      </c>
      <c r="G34" s="10">
        <v>8376</v>
      </c>
      <c r="H34" s="10">
        <v>651</v>
      </c>
      <c r="I34" s="10">
        <v>2282</v>
      </c>
      <c r="J34" s="10">
        <v>0</v>
      </c>
      <c r="K34" s="10">
        <v>0</v>
      </c>
      <c r="L34" s="10">
        <v>2104</v>
      </c>
      <c r="M34" s="10">
        <v>5011</v>
      </c>
      <c r="N34" s="10">
        <v>0</v>
      </c>
      <c r="O34" s="10">
        <v>872</v>
      </c>
      <c r="P34" s="10">
        <v>3908</v>
      </c>
      <c r="Q34" s="10">
        <v>2078</v>
      </c>
      <c r="R34" s="10">
        <v>6059</v>
      </c>
      <c r="S34" s="10">
        <v>40062</v>
      </c>
      <c r="T34" s="10">
        <v>20545</v>
      </c>
      <c r="U34" s="10">
        <v>15.723929236499069</v>
      </c>
      <c r="V34" s="10">
        <v>22.99538610976202</v>
      </c>
      <c r="W34" s="10">
        <v>42.056059265811584</v>
      </c>
      <c r="X34" s="10">
        <v>20.825837903717243</v>
      </c>
      <c r="Y34" s="10">
        <v>34.200737402703808</v>
      </c>
      <c r="Z34" s="10">
        <v>20.255969436485195</v>
      </c>
      <c r="AA34" s="10">
        <v>17.952380952380953</v>
      </c>
      <c r="AB34" s="10">
        <v>33.13102541630149</v>
      </c>
      <c r="AC34" s="10">
        <v>53.455605381165917</v>
      </c>
      <c r="AD34" s="10">
        <v>0</v>
      </c>
      <c r="AE34" s="10">
        <v>25.126425855513308</v>
      </c>
      <c r="AF34" s="10">
        <v>31.775693474356416</v>
      </c>
      <c r="AG34" s="10">
        <v>0</v>
      </c>
      <c r="AH34" s="10">
        <v>19.060779816513762</v>
      </c>
      <c r="AI34" s="10">
        <v>59.866683725690891</v>
      </c>
      <c r="AJ34" s="10">
        <v>78.716639209225704</v>
      </c>
      <c r="AK34" s="10">
        <v>31.993262752646775</v>
      </c>
      <c r="AL34" s="10">
        <v>25.840732794190462</v>
      </c>
      <c r="AM34" s="10">
        <v>46.038369304556355</v>
      </c>
      <c r="AN34" s="10">
        <v>3</v>
      </c>
      <c r="AO34" s="10">
        <v>4</v>
      </c>
      <c r="AP34" s="10">
        <v>16</v>
      </c>
      <c r="AQ34" s="10">
        <v>10</v>
      </c>
      <c r="AR34" s="10">
        <v>11</v>
      </c>
      <c r="AS34" s="10">
        <v>1</v>
      </c>
      <c r="AT34" s="10">
        <v>2</v>
      </c>
      <c r="AU34" s="10">
        <v>2</v>
      </c>
      <c r="AV34" s="10">
        <v>0</v>
      </c>
      <c r="AW34" s="10">
        <v>1</v>
      </c>
      <c r="AX34" s="10">
        <v>10</v>
      </c>
      <c r="AY34" s="10">
        <v>0</v>
      </c>
      <c r="AZ34" s="10">
        <v>7</v>
      </c>
      <c r="BA34" s="10">
        <v>2</v>
      </c>
      <c r="BB34" s="10">
        <v>8</v>
      </c>
      <c r="BC34" s="10">
        <v>77</v>
      </c>
      <c r="BD34" s="10">
        <v>0</v>
      </c>
      <c r="BE34" s="10">
        <v>0</v>
      </c>
      <c r="BF34" s="10">
        <v>11</v>
      </c>
      <c r="BG34" s="10">
        <v>4</v>
      </c>
      <c r="BH34" s="10">
        <v>1</v>
      </c>
      <c r="BI34" s="10">
        <v>0</v>
      </c>
      <c r="BJ34" s="10">
        <v>1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3</v>
      </c>
      <c r="BQ34" s="10">
        <v>0</v>
      </c>
      <c r="BR34" s="10">
        <v>1</v>
      </c>
      <c r="BS34" s="10">
        <v>21</v>
      </c>
    </row>
    <row r="35" spans="1:71" x14ac:dyDescent="0.55000000000000004">
      <c r="A35" s="10">
        <v>456</v>
      </c>
      <c r="B35" s="10">
        <v>2022</v>
      </c>
      <c r="C35" s="10">
        <v>2889</v>
      </c>
      <c r="D35" s="10">
        <v>16489</v>
      </c>
      <c r="E35" s="10">
        <v>17389</v>
      </c>
      <c r="F35" s="10">
        <v>6710</v>
      </c>
      <c r="G35" s="10">
        <v>6924</v>
      </c>
      <c r="H35" s="10">
        <v>497</v>
      </c>
      <c r="I35" s="10">
        <v>3691</v>
      </c>
      <c r="J35" s="10">
        <v>1150</v>
      </c>
      <c r="K35" s="10">
        <v>0</v>
      </c>
      <c r="L35" s="10">
        <v>3795</v>
      </c>
      <c r="M35" s="10">
        <v>5528</v>
      </c>
      <c r="N35" s="10">
        <v>2264</v>
      </c>
      <c r="O35" s="10">
        <v>317</v>
      </c>
      <c r="P35" s="10">
        <v>13561</v>
      </c>
      <c r="Q35" s="10">
        <v>3812</v>
      </c>
      <c r="R35" s="10">
        <v>4108</v>
      </c>
      <c r="S35" s="10">
        <v>57287</v>
      </c>
      <c r="T35" s="10">
        <v>31837</v>
      </c>
      <c r="U35" s="10">
        <v>18.943579093111804</v>
      </c>
      <c r="V35" s="10">
        <v>20.727697252713931</v>
      </c>
      <c r="W35" s="10">
        <v>43.856951774998194</v>
      </c>
      <c r="X35" s="10">
        <v>17.081488297199378</v>
      </c>
      <c r="Y35" s="10">
        <v>30.4725782414307</v>
      </c>
      <c r="Z35" s="10">
        <v>19.080011554015019</v>
      </c>
      <c r="AA35" s="10">
        <v>14.488933601609656</v>
      </c>
      <c r="AB35" s="10">
        <v>29.63912218910864</v>
      </c>
      <c r="AC35" s="10">
        <v>63.068350021767522</v>
      </c>
      <c r="AD35" s="10">
        <v>0</v>
      </c>
      <c r="AE35" s="10">
        <v>20.712779973649539</v>
      </c>
      <c r="AF35" s="10">
        <v>37.159913169319829</v>
      </c>
      <c r="AG35" s="10">
        <v>16.997349823321553</v>
      </c>
      <c r="AH35" s="10">
        <v>24.315457413249209</v>
      </c>
      <c r="AI35" s="10">
        <v>35.8581962982081</v>
      </c>
      <c r="AJ35" s="10">
        <v>67.867266591676042</v>
      </c>
      <c r="AK35" s="10">
        <v>26.160283315844701</v>
      </c>
      <c r="AL35" s="10">
        <v>23.191090555014604</v>
      </c>
      <c r="AM35" s="10">
        <v>0</v>
      </c>
      <c r="AN35" s="10">
        <v>1</v>
      </c>
      <c r="AO35" s="10">
        <v>2</v>
      </c>
      <c r="AP35" s="10">
        <v>3</v>
      </c>
      <c r="AQ35" s="10">
        <v>8</v>
      </c>
      <c r="AR35" s="10">
        <v>2</v>
      </c>
      <c r="AS35" s="10">
        <v>0</v>
      </c>
      <c r="AT35" s="10">
        <v>2</v>
      </c>
      <c r="AU35" s="10">
        <v>2</v>
      </c>
      <c r="AV35" s="10">
        <v>0</v>
      </c>
      <c r="AW35" s="10">
        <v>2</v>
      </c>
      <c r="AX35" s="10">
        <v>2</v>
      </c>
      <c r="AY35" s="10">
        <v>0</v>
      </c>
      <c r="AZ35" s="10">
        <v>3</v>
      </c>
      <c r="BA35" s="10">
        <v>2</v>
      </c>
      <c r="BB35" s="10">
        <v>0</v>
      </c>
      <c r="BC35" s="10">
        <v>29</v>
      </c>
      <c r="BD35" s="10">
        <v>0</v>
      </c>
      <c r="BE35" s="10">
        <v>0</v>
      </c>
      <c r="BF35" s="10">
        <v>7</v>
      </c>
      <c r="BG35" s="10">
        <v>10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1</v>
      </c>
      <c r="BQ35" s="10">
        <v>0</v>
      </c>
      <c r="BR35" s="10">
        <v>0</v>
      </c>
      <c r="BS35" s="10">
        <v>18</v>
      </c>
    </row>
    <row r="36" spans="1:71" x14ac:dyDescent="0.55000000000000004">
      <c r="A36" s="10">
        <v>750</v>
      </c>
      <c r="B36" s="10">
        <v>2022</v>
      </c>
      <c r="C36" s="10">
        <v>3182</v>
      </c>
      <c r="D36" s="10">
        <v>16649</v>
      </c>
      <c r="E36" s="10">
        <v>16651</v>
      </c>
      <c r="F36" s="10">
        <v>4258</v>
      </c>
      <c r="G36" s="10">
        <v>5509</v>
      </c>
      <c r="H36" s="10">
        <v>2340</v>
      </c>
      <c r="I36" s="10">
        <v>8927</v>
      </c>
      <c r="J36" s="10">
        <v>0</v>
      </c>
      <c r="K36" s="10">
        <v>0</v>
      </c>
      <c r="L36" s="10">
        <v>1795</v>
      </c>
      <c r="M36" s="10">
        <v>8529</v>
      </c>
      <c r="N36" s="10">
        <v>0</v>
      </c>
      <c r="O36" s="10">
        <v>6261</v>
      </c>
      <c r="P36" s="10">
        <v>21734</v>
      </c>
      <c r="Q36" s="10">
        <v>2175</v>
      </c>
      <c r="R36" s="10">
        <v>11743</v>
      </c>
      <c r="S36" s="10">
        <v>74734</v>
      </c>
      <c r="T36" s="10">
        <v>35019</v>
      </c>
      <c r="U36" s="10">
        <v>17.113450659962286</v>
      </c>
      <c r="V36" s="10">
        <v>17.954231485374496</v>
      </c>
      <c r="W36" s="10">
        <v>32.260783668093516</v>
      </c>
      <c r="X36" s="10">
        <v>13.708546033271274</v>
      </c>
      <c r="Y36" s="10">
        <v>35.817519962423674</v>
      </c>
      <c r="Z36" s="10">
        <v>14.05064440007261</v>
      </c>
      <c r="AA36" s="10">
        <v>14.604273504273504</v>
      </c>
      <c r="AB36" s="10">
        <v>25.125574101041785</v>
      </c>
      <c r="AC36" s="10">
        <v>0</v>
      </c>
      <c r="AD36" s="10">
        <v>0</v>
      </c>
      <c r="AE36" s="10">
        <v>22.528690807799443</v>
      </c>
      <c r="AF36" s="10">
        <v>38.068589518114663</v>
      </c>
      <c r="AG36" s="10">
        <v>0</v>
      </c>
      <c r="AH36" s="10">
        <v>25.574988021082891</v>
      </c>
      <c r="AI36" s="10">
        <v>33.543434250483116</v>
      </c>
      <c r="AJ36" s="10">
        <v>0</v>
      </c>
      <c r="AK36" s="10">
        <v>31.258850574712639</v>
      </c>
      <c r="AL36" s="10">
        <v>18.448522524056884</v>
      </c>
      <c r="AM36" s="10">
        <v>0</v>
      </c>
      <c r="AN36" s="10">
        <v>2</v>
      </c>
      <c r="AO36" s="10">
        <v>3</v>
      </c>
      <c r="AP36" s="10">
        <v>3</v>
      </c>
      <c r="AQ36" s="10">
        <v>4</v>
      </c>
      <c r="AR36" s="10">
        <v>0</v>
      </c>
      <c r="AS36" s="10">
        <v>1</v>
      </c>
      <c r="AT36" s="10">
        <v>2</v>
      </c>
      <c r="AU36" s="10">
        <v>6</v>
      </c>
      <c r="AV36" s="10">
        <v>0</v>
      </c>
      <c r="AW36" s="10">
        <v>1</v>
      </c>
      <c r="AX36" s="10">
        <v>3</v>
      </c>
      <c r="AY36" s="10">
        <v>0</v>
      </c>
      <c r="AZ36" s="10">
        <v>4</v>
      </c>
      <c r="BA36" s="10">
        <v>1</v>
      </c>
      <c r="BB36" s="10">
        <v>4</v>
      </c>
      <c r="BC36" s="10">
        <v>34</v>
      </c>
      <c r="BD36" s="10">
        <v>0</v>
      </c>
      <c r="BE36" s="10">
        <v>0</v>
      </c>
      <c r="BF36" s="10">
        <v>1</v>
      </c>
      <c r="BG36" s="10">
        <v>8</v>
      </c>
      <c r="BH36" s="10">
        <v>0</v>
      </c>
      <c r="BI36" s="10">
        <v>0</v>
      </c>
      <c r="BJ36" s="10">
        <v>3</v>
      </c>
      <c r="BK36" s="10">
        <v>1</v>
      </c>
      <c r="BL36" s="10">
        <v>0</v>
      </c>
      <c r="BM36" s="10">
        <v>0</v>
      </c>
      <c r="BN36" s="10">
        <v>0</v>
      </c>
      <c r="BO36" s="10">
        <v>0</v>
      </c>
      <c r="BP36" s="10">
        <v>2</v>
      </c>
      <c r="BQ36" s="10">
        <v>0</v>
      </c>
      <c r="BR36" s="10">
        <v>1</v>
      </c>
      <c r="BS36" s="10">
        <v>16</v>
      </c>
    </row>
    <row r="37" spans="1:71" x14ac:dyDescent="0.55000000000000004">
      <c r="A37" s="10">
        <v>493</v>
      </c>
      <c r="B37" s="10">
        <v>2022</v>
      </c>
      <c r="C37" s="10">
        <v>4312</v>
      </c>
      <c r="D37" s="10">
        <v>16709</v>
      </c>
      <c r="E37" s="10">
        <v>15233</v>
      </c>
      <c r="F37" s="10">
        <v>4349</v>
      </c>
      <c r="G37" s="10">
        <v>3667</v>
      </c>
      <c r="H37" s="10">
        <v>3335</v>
      </c>
      <c r="I37" s="10">
        <v>7648</v>
      </c>
      <c r="J37" s="10">
        <v>0</v>
      </c>
      <c r="K37" s="10">
        <v>0</v>
      </c>
      <c r="L37" s="10">
        <v>1585</v>
      </c>
      <c r="M37" s="10">
        <v>2059</v>
      </c>
      <c r="N37" s="10">
        <v>0</v>
      </c>
      <c r="O37" s="10">
        <v>2353</v>
      </c>
      <c r="P37" s="10">
        <v>6069</v>
      </c>
      <c r="Q37" s="10">
        <v>1733</v>
      </c>
      <c r="R37" s="10">
        <v>12958</v>
      </c>
      <c r="S37" s="10">
        <v>53073</v>
      </c>
      <c r="T37" s="10">
        <v>28937</v>
      </c>
      <c r="U37" s="10">
        <v>22.858534322820034</v>
      </c>
      <c r="V37" s="10">
        <v>22.366389370997666</v>
      </c>
      <c r="W37" s="10">
        <v>41.125863392171908</v>
      </c>
      <c r="X37" s="10">
        <v>18.844613667695135</v>
      </c>
      <c r="Y37" s="10">
        <v>32.959990802483325</v>
      </c>
      <c r="Z37" s="10">
        <v>22.549222797927463</v>
      </c>
      <c r="AA37" s="10">
        <v>21.691454272863567</v>
      </c>
      <c r="AB37" s="10">
        <v>32.236793933054393</v>
      </c>
      <c r="AC37" s="10">
        <v>91.483050847457619</v>
      </c>
      <c r="AD37" s="10">
        <v>0</v>
      </c>
      <c r="AE37" s="10">
        <v>0</v>
      </c>
      <c r="AF37" s="10">
        <v>36.774647887323944</v>
      </c>
      <c r="AG37" s="10">
        <v>0</v>
      </c>
      <c r="AH37" s="10">
        <v>20.775180620484488</v>
      </c>
      <c r="AI37" s="10">
        <v>34.048937221947604</v>
      </c>
      <c r="AJ37" s="10">
        <v>0</v>
      </c>
      <c r="AK37" s="10">
        <v>26.850548182342759</v>
      </c>
      <c r="AL37" s="10">
        <v>22.347430158975151</v>
      </c>
      <c r="AM37" s="10">
        <v>0</v>
      </c>
      <c r="AN37" s="10">
        <v>2</v>
      </c>
      <c r="AO37" s="10">
        <v>2</v>
      </c>
      <c r="AP37" s="10">
        <v>7</v>
      </c>
      <c r="AQ37" s="10">
        <v>4</v>
      </c>
      <c r="AR37" s="10">
        <v>2</v>
      </c>
      <c r="AS37" s="10">
        <v>2</v>
      </c>
      <c r="AT37" s="10">
        <v>2</v>
      </c>
      <c r="AU37" s="10">
        <v>1</v>
      </c>
      <c r="AV37" s="10">
        <v>0</v>
      </c>
      <c r="AW37" s="10">
        <v>1</v>
      </c>
      <c r="AX37" s="10">
        <v>2</v>
      </c>
      <c r="AY37" s="10">
        <v>0</v>
      </c>
      <c r="AZ37" s="10">
        <v>3</v>
      </c>
      <c r="BA37" s="10">
        <v>1</v>
      </c>
      <c r="BB37" s="10">
        <v>8</v>
      </c>
      <c r="BC37" s="10">
        <v>37</v>
      </c>
      <c r="BD37" s="10">
        <v>2</v>
      </c>
      <c r="BE37" s="10">
        <v>1</v>
      </c>
      <c r="BF37" s="10">
        <v>18</v>
      </c>
      <c r="BG37" s="10">
        <v>14</v>
      </c>
      <c r="BH37" s="10">
        <v>3</v>
      </c>
      <c r="BI37" s="10">
        <v>3</v>
      </c>
      <c r="BJ37" s="10">
        <v>2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4</v>
      </c>
      <c r="BS37" s="10">
        <v>47</v>
      </c>
    </row>
    <row r="38" spans="1:71" x14ac:dyDescent="0.55000000000000004">
      <c r="A38" s="10">
        <v>965</v>
      </c>
      <c r="B38" s="10">
        <v>2022</v>
      </c>
      <c r="C38" s="10">
        <v>4441</v>
      </c>
      <c r="D38" s="10">
        <v>16773</v>
      </c>
      <c r="E38" s="10">
        <v>11109</v>
      </c>
      <c r="F38" s="10">
        <v>2114</v>
      </c>
      <c r="G38" s="10">
        <v>5534</v>
      </c>
      <c r="H38" s="10">
        <v>896</v>
      </c>
      <c r="I38" s="10">
        <v>5531</v>
      </c>
      <c r="J38" s="10">
        <v>0</v>
      </c>
      <c r="K38" s="10">
        <v>0</v>
      </c>
      <c r="L38" s="10">
        <v>1945</v>
      </c>
      <c r="M38" s="10">
        <v>6466</v>
      </c>
      <c r="N38" s="10">
        <v>0</v>
      </c>
      <c r="O38" s="10">
        <v>1739</v>
      </c>
      <c r="P38" s="10">
        <v>4221</v>
      </c>
      <c r="Q38" s="10">
        <v>1880</v>
      </c>
      <c r="R38" s="10">
        <v>200</v>
      </c>
      <c r="S38" s="10">
        <v>41457</v>
      </c>
      <c r="T38" s="10">
        <v>21392</v>
      </c>
      <c r="U38" s="10">
        <v>19.666516550326502</v>
      </c>
      <c r="V38" s="10">
        <v>22.727359446729864</v>
      </c>
      <c r="W38" s="10">
        <v>33.96140350877193</v>
      </c>
      <c r="X38" s="10">
        <v>17.923845530650823</v>
      </c>
      <c r="Y38" s="10">
        <v>24.898770104068117</v>
      </c>
      <c r="Z38" s="10">
        <v>15.516805204192266</v>
      </c>
      <c r="AA38" s="10">
        <v>13.506696428571429</v>
      </c>
      <c r="AB38" s="10">
        <v>32.899114084252396</v>
      </c>
      <c r="AC38" s="10">
        <v>47.387647831800258</v>
      </c>
      <c r="AD38" s="10">
        <v>0</v>
      </c>
      <c r="AE38" s="10">
        <v>17.874550128534704</v>
      </c>
      <c r="AF38" s="10">
        <v>40.480049489638105</v>
      </c>
      <c r="AG38" s="10">
        <v>0</v>
      </c>
      <c r="AH38" s="10">
        <v>19.118458884416331</v>
      </c>
      <c r="AI38" s="10">
        <v>40.46860933428097</v>
      </c>
      <c r="AJ38" s="10">
        <v>63.183350357507663</v>
      </c>
      <c r="AK38" s="10">
        <v>28.63563829787234</v>
      </c>
      <c r="AL38" s="10">
        <v>20.74</v>
      </c>
      <c r="AM38" s="10">
        <v>0</v>
      </c>
      <c r="AN38" s="10">
        <v>2</v>
      </c>
      <c r="AO38" s="10">
        <v>1</v>
      </c>
      <c r="AP38" s="10">
        <v>4</v>
      </c>
      <c r="AQ38" s="10">
        <v>3</v>
      </c>
      <c r="AR38" s="10">
        <v>2</v>
      </c>
      <c r="AS38" s="10">
        <v>0</v>
      </c>
      <c r="AT38" s="10">
        <v>2</v>
      </c>
      <c r="AU38" s="10">
        <v>1</v>
      </c>
      <c r="AV38" s="10">
        <v>0</v>
      </c>
      <c r="AW38" s="10">
        <v>1</v>
      </c>
      <c r="AX38" s="10">
        <v>3</v>
      </c>
      <c r="AY38" s="10">
        <v>0</v>
      </c>
      <c r="AZ38" s="10">
        <v>0</v>
      </c>
      <c r="BA38" s="10">
        <v>1</v>
      </c>
      <c r="BB38" s="10">
        <v>0</v>
      </c>
      <c r="BC38" s="10">
        <v>20</v>
      </c>
      <c r="BD38" s="10">
        <v>2</v>
      </c>
      <c r="BE38" s="10">
        <v>0</v>
      </c>
      <c r="BF38" s="10">
        <v>9</v>
      </c>
      <c r="BG38" s="10">
        <v>6</v>
      </c>
      <c r="BH38" s="10">
        <v>2</v>
      </c>
      <c r="BI38" s="10">
        <v>1</v>
      </c>
      <c r="BJ38" s="10">
        <v>5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3</v>
      </c>
      <c r="BQ38" s="10">
        <v>0</v>
      </c>
      <c r="BR38" s="10">
        <v>0</v>
      </c>
      <c r="BS38" s="10">
        <v>28</v>
      </c>
    </row>
    <row r="39" spans="1:71" x14ac:dyDescent="0.55000000000000004">
      <c r="A39" s="10">
        <v>652</v>
      </c>
      <c r="B39" s="10">
        <v>2022</v>
      </c>
      <c r="C39" s="10">
        <v>1245</v>
      </c>
      <c r="D39" s="10">
        <v>16843</v>
      </c>
      <c r="E39" s="10">
        <v>10659</v>
      </c>
      <c r="F39" s="10">
        <v>2232</v>
      </c>
      <c r="G39" s="10">
        <v>6459</v>
      </c>
      <c r="H39" s="10">
        <v>1806</v>
      </c>
      <c r="I39" s="10">
        <v>3769</v>
      </c>
      <c r="J39" s="10">
        <v>677</v>
      </c>
      <c r="K39" s="10">
        <v>0</v>
      </c>
      <c r="L39" s="10">
        <v>1740</v>
      </c>
      <c r="M39" s="10">
        <v>634</v>
      </c>
      <c r="N39" s="10">
        <v>0</v>
      </c>
      <c r="O39" s="10">
        <v>2026</v>
      </c>
      <c r="P39" s="10">
        <v>7544</v>
      </c>
      <c r="Q39" s="10">
        <v>2298</v>
      </c>
      <c r="R39" s="10">
        <v>6652</v>
      </c>
      <c r="S39" s="10">
        <v>41402</v>
      </c>
      <c r="T39" s="10">
        <v>23182</v>
      </c>
      <c r="U39" s="10">
        <v>17.533333333333335</v>
      </c>
      <c r="V39" s="10">
        <v>20.48405865938372</v>
      </c>
      <c r="W39" s="10">
        <v>0</v>
      </c>
      <c r="X39" s="10">
        <v>11.796416174125152</v>
      </c>
      <c r="Y39" s="10">
        <v>37.549731182795703</v>
      </c>
      <c r="Z39" s="10">
        <v>14.037002631986375</v>
      </c>
      <c r="AA39" s="10">
        <v>12.897009966777407</v>
      </c>
      <c r="AB39" s="10">
        <v>32.049084637834973</v>
      </c>
      <c r="AC39" s="10">
        <v>0</v>
      </c>
      <c r="AD39" s="10">
        <v>0</v>
      </c>
      <c r="AE39" s="10">
        <v>17.686781609195403</v>
      </c>
      <c r="AF39" s="10">
        <v>33.823343848580443</v>
      </c>
      <c r="AG39" s="10">
        <v>0</v>
      </c>
      <c r="AH39" s="10">
        <v>13.040473840078972</v>
      </c>
      <c r="AI39" s="10">
        <v>42.856972428419937</v>
      </c>
      <c r="AJ39" s="10">
        <v>0</v>
      </c>
      <c r="AK39" s="10">
        <v>17.406005221932116</v>
      </c>
      <c r="AL39" s="10">
        <v>21.273451593505712</v>
      </c>
      <c r="AM39" s="10">
        <v>0</v>
      </c>
      <c r="AN39" s="10">
        <v>0</v>
      </c>
      <c r="AO39" s="10">
        <v>0</v>
      </c>
      <c r="AP39" s="10">
        <v>9</v>
      </c>
      <c r="AQ39" s="10">
        <v>6</v>
      </c>
      <c r="AR39" s="10">
        <v>2</v>
      </c>
      <c r="AS39" s="10">
        <v>1</v>
      </c>
      <c r="AT39" s="10">
        <v>1</v>
      </c>
      <c r="AU39" s="10">
        <v>1</v>
      </c>
      <c r="AV39" s="10">
        <v>0</v>
      </c>
      <c r="AW39" s="10">
        <v>1</v>
      </c>
      <c r="AX39" s="10">
        <v>1</v>
      </c>
      <c r="AY39" s="10">
        <v>0</v>
      </c>
      <c r="AZ39" s="10">
        <v>1</v>
      </c>
      <c r="BA39" s="10">
        <v>1</v>
      </c>
      <c r="BB39" s="10">
        <v>2</v>
      </c>
      <c r="BC39" s="10">
        <v>26</v>
      </c>
      <c r="BD39" s="10">
        <v>0</v>
      </c>
      <c r="BE39" s="10">
        <v>0</v>
      </c>
      <c r="BF39" s="10">
        <v>2</v>
      </c>
      <c r="BG39" s="10">
        <v>6</v>
      </c>
      <c r="BH39" s="10">
        <v>2</v>
      </c>
      <c r="BI39" s="10">
        <v>0</v>
      </c>
      <c r="BJ39" s="10">
        <v>1</v>
      </c>
      <c r="BK39" s="10">
        <v>0</v>
      </c>
      <c r="BL39" s="10">
        <v>0</v>
      </c>
      <c r="BM39" s="10">
        <v>0</v>
      </c>
      <c r="BN39" s="10">
        <v>1</v>
      </c>
      <c r="BO39" s="10">
        <v>0</v>
      </c>
      <c r="BP39" s="10">
        <v>0</v>
      </c>
      <c r="BQ39" s="10">
        <v>0</v>
      </c>
      <c r="BR39" s="10">
        <v>0</v>
      </c>
      <c r="BS39" s="10">
        <v>12</v>
      </c>
    </row>
    <row r="40" spans="1:71" x14ac:dyDescent="0.55000000000000004">
      <c r="A40" s="10">
        <v>821</v>
      </c>
      <c r="B40" s="10">
        <v>2022</v>
      </c>
      <c r="C40" s="10">
        <v>1385</v>
      </c>
      <c r="D40" s="10">
        <v>16854</v>
      </c>
      <c r="E40" s="10">
        <v>9406</v>
      </c>
      <c r="F40" s="10">
        <v>4700</v>
      </c>
      <c r="G40" s="10">
        <v>8072</v>
      </c>
      <c r="H40" s="10">
        <v>423</v>
      </c>
      <c r="I40" s="10">
        <v>523</v>
      </c>
      <c r="J40" s="10">
        <v>0</v>
      </c>
      <c r="K40" s="10">
        <v>0</v>
      </c>
      <c r="L40" s="10">
        <v>2157</v>
      </c>
      <c r="M40" s="10">
        <v>2303</v>
      </c>
      <c r="N40" s="10">
        <v>917</v>
      </c>
      <c r="O40" s="10">
        <v>485</v>
      </c>
      <c r="P40" s="10">
        <v>32083</v>
      </c>
      <c r="Q40" s="10">
        <v>2805</v>
      </c>
      <c r="R40" s="10">
        <v>0</v>
      </c>
      <c r="S40" s="10">
        <v>59027</v>
      </c>
      <c r="T40" s="10">
        <v>23086</v>
      </c>
      <c r="U40" s="10">
        <v>23.926353790613717</v>
      </c>
      <c r="V40" s="10">
        <v>35.029844547288477</v>
      </c>
      <c r="W40" s="10">
        <v>0</v>
      </c>
      <c r="X40" s="10">
        <v>23.2858813523283</v>
      </c>
      <c r="Y40" s="10">
        <v>33.148510638297871</v>
      </c>
      <c r="Z40" s="10">
        <v>12.058102081268581</v>
      </c>
      <c r="AA40" s="10">
        <v>15.035460992907801</v>
      </c>
      <c r="AB40" s="10">
        <v>30.196940726577434</v>
      </c>
      <c r="AC40" s="10">
        <v>0</v>
      </c>
      <c r="AD40" s="10">
        <v>0</v>
      </c>
      <c r="AE40" s="10">
        <v>22.968938340287437</v>
      </c>
      <c r="AF40" s="10">
        <v>44.851932262266601</v>
      </c>
      <c r="AG40" s="10">
        <v>30.056706652126501</v>
      </c>
      <c r="AH40" s="10">
        <v>25.084536082474227</v>
      </c>
      <c r="AI40" s="10">
        <v>49.7725898450893</v>
      </c>
      <c r="AJ40" s="10">
        <v>0</v>
      </c>
      <c r="AK40" s="10">
        <v>30.566844919786099</v>
      </c>
      <c r="AL40" s="10">
        <v>0</v>
      </c>
      <c r="AM40" s="10">
        <v>0</v>
      </c>
      <c r="AN40" s="10">
        <v>1</v>
      </c>
      <c r="AO40" s="10">
        <v>0</v>
      </c>
      <c r="AP40" s="10">
        <v>6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1</v>
      </c>
      <c r="AX40" s="10">
        <v>2</v>
      </c>
      <c r="AY40" s="10">
        <v>0</v>
      </c>
      <c r="AZ40" s="10">
        <v>9</v>
      </c>
      <c r="BA40" s="10">
        <v>1</v>
      </c>
      <c r="BB40" s="10">
        <v>0</v>
      </c>
      <c r="BC40" s="10">
        <v>20</v>
      </c>
      <c r="BD40" s="10">
        <v>0</v>
      </c>
      <c r="BE40" s="10">
        <v>0</v>
      </c>
      <c r="BF40" s="10">
        <v>7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0</v>
      </c>
      <c r="BM40" s="10">
        <v>0</v>
      </c>
      <c r="BN40" s="10">
        <v>0</v>
      </c>
      <c r="BO40" s="10">
        <v>3</v>
      </c>
      <c r="BP40" s="10">
        <v>2</v>
      </c>
      <c r="BQ40" s="10">
        <v>0</v>
      </c>
      <c r="BR40" s="10">
        <v>0</v>
      </c>
      <c r="BS40" s="10">
        <v>12</v>
      </c>
    </row>
    <row r="41" spans="1:71" x14ac:dyDescent="0.55000000000000004">
      <c r="A41" s="10">
        <v>183</v>
      </c>
      <c r="B41" s="10">
        <v>2022</v>
      </c>
      <c r="C41" s="10">
        <v>2694</v>
      </c>
      <c r="D41" s="10">
        <v>17283</v>
      </c>
      <c r="E41" s="10">
        <v>8511</v>
      </c>
      <c r="F41" s="10">
        <v>2235</v>
      </c>
      <c r="G41" s="10">
        <v>5548</v>
      </c>
      <c r="H41" s="10">
        <v>2440</v>
      </c>
      <c r="I41" s="10">
        <v>6334</v>
      </c>
      <c r="J41" s="10">
        <v>0</v>
      </c>
      <c r="K41" s="10">
        <v>0</v>
      </c>
      <c r="L41" s="10">
        <v>0</v>
      </c>
      <c r="M41" s="10">
        <v>5735</v>
      </c>
      <c r="N41" s="10">
        <v>430</v>
      </c>
      <c r="O41" s="10">
        <v>378</v>
      </c>
      <c r="P41" s="10">
        <v>4506</v>
      </c>
      <c r="Q41" s="10">
        <v>1818</v>
      </c>
      <c r="R41" s="10">
        <v>257</v>
      </c>
      <c r="S41" s="10">
        <v>39057</v>
      </c>
      <c r="T41" s="10">
        <v>19112</v>
      </c>
      <c r="U41" s="10">
        <v>21.278767631774311</v>
      </c>
      <c r="V41" s="10">
        <v>26.254238268819069</v>
      </c>
      <c r="W41" s="10">
        <v>33.635373009220451</v>
      </c>
      <c r="X41" s="10">
        <v>0</v>
      </c>
      <c r="Y41" s="10">
        <v>0</v>
      </c>
      <c r="Z41" s="10">
        <v>0</v>
      </c>
      <c r="AA41" s="10">
        <v>0</v>
      </c>
      <c r="AB41" s="10">
        <v>32.246605620461004</v>
      </c>
      <c r="AC41" s="10">
        <v>0</v>
      </c>
      <c r="AD41" s="10">
        <v>0</v>
      </c>
      <c r="AE41" s="10">
        <v>0</v>
      </c>
      <c r="AF41" s="10">
        <v>42.149607672188317</v>
      </c>
      <c r="AG41" s="10">
        <v>31.006976744186044</v>
      </c>
      <c r="AH41" s="10">
        <v>0</v>
      </c>
      <c r="AI41" s="10">
        <v>49.85019973368842</v>
      </c>
      <c r="AJ41" s="10">
        <v>60.990936555891238</v>
      </c>
      <c r="AK41" s="10">
        <v>25.230473047304731</v>
      </c>
      <c r="AL41" s="10">
        <v>26.544747081712064</v>
      </c>
      <c r="AM41" s="10">
        <v>0</v>
      </c>
      <c r="AN41" s="10">
        <v>2</v>
      </c>
      <c r="AO41" s="10">
        <v>0</v>
      </c>
      <c r="AP41" s="10">
        <v>4</v>
      </c>
      <c r="AQ41" s="10">
        <v>0</v>
      </c>
      <c r="AR41" s="10">
        <v>0</v>
      </c>
      <c r="AS41" s="10">
        <v>0</v>
      </c>
      <c r="AT41" s="10">
        <v>1</v>
      </c>
      <c r="AU41" s="10">
        <v>0</v>
      </c>
      <c r="AV41" s="10">
        <v>0</v>
      </c>
      <c r="AW41" s="10">
        <v>0</v>
      </c>
      <c r="AX41" s="10">
        <v>3</v>
      </c>
      <c r="AY41" s="10">
        <v>0</v>
      </c>
      <c r="AZ41" s="10">
        <v>0</v>
      </c>
      <c r="BA41" s="10">
        <v>1</v>
      </c>
      <c r="BB41" s="10">
        <v>0</v>
      </c>
      <c r="BC41" s="10">
        <v>11</v>
      </c>
      <c r="BD41" s="10">
        <v>0</v>
      </c>
      <c r="BE41" s="10">
        <v>0</v>
      </c>
      <c r="BF41" s="10">
        <v>1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3</v>
      </c>
      <c r="BO41" s="10">
        <v>1</v>
      </c>
      <c r="BP41" s="10">
        <v>0</v>
      </c>
      <c r="BQ41" s="10">
        <v>0</v>
      </c>
      <c r="BR41" s="10">
        <v>0</v>
      </c>
      <c r="BS41" s="10">
        <v>5</v>
      </c>
    </row>
    <row r="42" spans="1:71" x14ac:dyDescent="0.55000000000000004">
      <c r="A42" s="10">
        <v>474</v>
      </c>
      <c r="B42" s="10">
        <v>2022</v>
      </c>
      <c r="C42" s="10">
        <v>2713</v>
      </c>
      <c r="D42" s="10">
        <v>17293</v>
      </c>
      <c r="E42" s="10">
        <v>9877</v>
      </c>
      <c r="F42" s="10">
        <v>3711</v>
      </c>
      <c r="G42" s="10">
        <v>1815</v>
      </c>
      <c r="H42" s="10">
        <v>2019</v>
      </c>
      <c r="I42" s="10">
        <v>8203</v>
      </c>
      <c r="J42" s="10">
        <v>100</v>
      </c>
      <c r="K42" s="10">
        <v>0</v>
      </c>
      <c r="L42" s="10">
        <v>198</v>
      </c>
      <c r="M42" s="10">
        <v>4408</v>
      </c>
      <c r="N42" s="10">
        <v>0</v>
      </c>
      <c r="O42" s="10">
        <v>2243</v>
      </c>
      <c r="P42" s="10">
        <v>2868</v>
      </c>
      <c r="Q42" s="10">
        <v>1763</v>
      </c>
      <c r="R42" s="10">
        <v>5716</v>
      </c>
      <c r="S42" s="10">
        <v>43262</v>
      </c>
      <c r="T42" s="10">
        <v>19665</v>
      </c>
      <c r="U42" s="10">
        <v>14.678215997051236</v>
      </c>
      <c r="V42" s="10">
        <v>16.156942115306769</v>
      </c>
      <c r="W42" s="10">
        <v>31.51675485008818</v>
      </c>
      <c r="X42" s="10">
        <v>13.921332388377037</v>
      </c>
      <c r="Y42" s="10">
        <v>30.53166262462948</v>
      </c>
      <c r="Z42" s="10">
        <v>13.660055096418732</v>
      </c>
      <c r="AA42" s="10">
        <v>13.514611193660228</v>
      </c>
      <c r="AB42" s="10">
        <v>24.165549189320981</v>
      </c>
      <c r="AC42" s="10">
        <v>46.460803059273424</v>
      </c>
      <c r="AD42" s="10">
        <v>0</v>
      </c>
      <c r="AE42" s="10">
        <v>22.267676767676768</v>
      </c>
      <c r="AF42" s="10">
        <v>37.149047186932847</v>
      </c>
      <c r="AG42" s="10">
        <v>0</v>
      </c>
      <c r="AH42" s="10">
        <v>20.949621043245649</v>
      </c>
      <c r="AI42" s="10">
        <v>32.42468619246862</v>
      </c>
      <c r="AJ42" s="10">
        <v>0</v>
      </c>
      <c r="AK42" s="10">
        <v>21.896766874645493</v>
      </c>
      <c r="AL42" s="10">
        <v>18.001749475157453</v>
      </c>
      <c r="AM42" s="10">
        <v>0</v>
      </c>
      <c r="AN42" s="10">
        <v>1</v>
      </c>
      <c r="AO42" s="10">
        <v>1</v>
      </c>
      <c r="AP42" s="10">
        <v>4</v>
      </c>
      <c r="AQ42" s="10">
        <v>3</v>
      </c>
      <c r="AR42" s="10">
        <v>1</v>
      </c>
      <c r="AS42" s="10">
        <v>0</v>
      </c>
      <c r="AT42" s="10">
        <v>3</v>
      </c>
      <c r="AU42" s="10">
        <v>1</v>
      </c>
      <c r="AV42" s="10">
        <v>0</v>
      </c>
      <c r="AW42" s="10">
        <v>0</v>
      </c>
      <c r="AX42" s="10">
        <v>2</v>
      </c>
      <c r="AY42" s="10">
        <v>0</v>
      </c>
      <c r="AZ42" s="10">
        <v>1</v>
      </c>
      <c r="BA42" s="10">
        <v>1</v>
      </c>
      <c r="BB42" s="10">
        <v>1</v>
      </c>
      <c r="BC42" s="10">
        <v>19</v>
      </c>
      <c r="BD42" s="10">
        <v>2</v>
      </c>
      <c r="BE42" s="10">
        <v>0</v>
      </c>
      <c r="BF42" s="10">
        <v>2</v>
      </c>
      <c r="BG42" s="10">
        <v>3</v>
      </c>
      <c r="BH42" s="10">
        <v>0</v>
      </c>
      <c r="BI42" s="10">
        <v>1</v>
      </c>
      <c r="BJ42" s="10">
        <v>1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9</v>
      </c>
    </row>
    <row r="43" spans="1:71" x14ac:dyDescent="0.55000000000000004">
      <c r="A43" s="10">
        <v>704</v>
      </c>
      <c r="B43" s="10">
        <v>2022</v>
      </c>
      <c r="C43" s="10">
        <v>580</v>
      </c>
      <c r="D43" s="10">
        <v>17296</v>
      </c>
      <c r="E43" s="10">
        <v>8633</v>
      </c>
      <c r="F43" s="10">
        <v>5560</v>
      </c>
      <c r="G43" s="10">
        <v>1600</v>
      </c>
      <c r="H43" s="10">
        <v>1395</v>
      </c>
      <c r="I43" s="10">
        <v>1954</v>
      </c>
      <c r="J43" s="10">
        <v>0</v>
      </c>
      <c r="K43" s="10">
        <v>630</v>
      </c>
      <c r="L43" s="10">
        <v>1590</v>
      </c>
      <c r="M43" s="10">
        <v>2791</v>
      </c>
      <c r="N43" s="10">
        <v>0</v>
      </c>
      <c r="O43" s="10">
        <v>1136</v>
      </c>
      <c r="P43" s="10">
        <v>5699</v>
      </c>
      <c r="Q43" s="10">
        <v>1664</v>
      </c>
      <c r="R43" s="10">
        <v>88</v>
      </c>
      <c r="S43" s="10">
        <v>32292</v>
      </c>
      <c r="T43" s="10">
        <v>18324</v>
      </c>
      <c r="U43" s="10">
        <v>24.632758620689653</v>
      </c>
      <c r="V43" s="10">
        <v>25.414835800185013</v>
      </c>
      <c r="W43" s="10">
        <v>0</v>
      </c>
      <c r="X43" s="10">
        <v>18.937333487779451</v>
      </c>
      <c r="Y43" s="10">
        <v>32.0205035971223</v>
      </c>
      <c r="Z43" s="10">
        <v>14.25375</v>
      </c>
      <c r="AA43" s="10">
        <v>16.389247311827958</v>
      </c>
      <c r="AB43" s="10">
        <v>69.282497441146361</v>
      </c>
      <c r="AC43" s="10">
        <v>49.1875</v>
      </c>
      <c r="AD43" s="10">
        <v>18.950793650793653</v>
      </c>
      <c r="AE43" s="10">
        <v>24.094968553459118</v>
      </c>
      <c r="AF43" s="10">
        <v>32.11823719097098</v>
      </c>
      <c r="AG43" s="10">
        <v>0</v>
      </c>
      <c r="AH43" s="10">
        <v>29.446302816901408</v>
      </c>
      <c r="AI43" s="10">
        <v>58.659589401649406</v>
      </c>
      <c r="AJ43" s="10">
        <v>0</v>
      </c>
      <c r="AK43" s="10">
        <v>28.427283653846153</v>
      </c>
      <c r="AL43" s="10">
        <v>25.511363636363637</v>
      </c>
      <c r="AM43" s="10">
        <v>0</v>
      </c>
      <c r="AN43" s="10">
        <v>0</v>
      </c>
      <c r="AO43" s="10">
        <v>3</v>
      </c>
      <c r="AP43" s="10">
        <v>5</v>
      </c>
      <c r="AQ43" s="10">
        <v>5</v>
      </c>
      <c r="AR43" s="10">
        <v>0</v>
      </c>
      <c r="AS43" s="10">
        <v>0</v>
      </c>
      <c r="AT43" s="10">
        <v>0</v>
      </c>
      <c r="AU43" s="10">
        <v>1</v>
      </c>
      <c r="AV43" s="10">
        <v>1</v>
      </c>
      <c r="AW43" s="10">
        <v>1</v>
      </c>
      <c r="AX43" s="10">
        <v>2</v>
      </c>
      <c r="AY43" s="10">
        <v>1</v>
      </c>
      <c r="AZ43" s="10">
        <v>4</v>
      </c>
      <c r="BA43" s="10">
        <v>1</v>
      </c>
      <c r="BB43" s="10">
        <v>0</v>
      </c>
      <c r="BC43" s="10">
        <v>24</v>
      </c>
      <c r="BD43" s="10">
        <v>0</v>
      </c>
      <c r="BE43" s="10">
        <v>0</v>
      </c>
      <c r="BF43" s="10">
        <v>6</v>
      </c>
      <c r="BG43" s="10">
        <v>0</v>
      </c>
      <c r="BH43" s="10">
        <v>0</v>
      </c>
      <c r="BI43" s="10">
        <v>0</v>
      </c>
      <c r="BJ43" s="10">
        <v>1</v>
      </c>
      <c r="BK43" s="10">
        <v>0</v>
      </c>
      <c r="BL43" s="10">
        <v>0</v>
      </c>
      <c r="BM43" s="10">
        <v>0</v>
      </c>
      <c r="BN43" s="10">
        <v>0</v>
      </c>
      <c r="BO43" s="10">
        <v>1</v>
      </c>
      <c r="BP43" s="10">
        <v>0</v>
      </c>
      <c r="BQ43" s="10">
        <v>0</v>
      </c>
      <c r="BR43" s="10">
        <v>0</v>
      </c>
      <c r="BS43" s="10">
        <v>8</v>
      </c>
    </row>
    <row r="44" spans="1:71" x14ac:dyDescent="0.55000000000000004">
      <c r="A44" s="10">
        <v>788</v>
      </c>
      <c r="B44" s="10">
        <v>2022</v>
      </c>
      <c r="C44" s="10">
        <v>3655</v>
      </c>
      <c r="D44" s="10">
        <v>17442</v>
      </c>
      <c r="E44" s="10">
        <v>7816</v>
      </c>
      <c r="F44" s="10">
        <v>2740</v>
      </c>
      <c r="G44" s="10">
        <v>0</v>
      </c>
      <c r="H44" s="10">
        <v>0</v>
      </c>
      <c r="I44" s="10">
        <v>7694</v>
      </c>
      <c r="J44" s="10">
        <v>0</v>
      </c>
      <c r="K44" s="10">
        <v>0</v>
      </c>
      <c r="L44" s="10">
        <v>3364</v>
      </c>
      <c r="M44" s="10">
        <v>9225</v>
      </c>
      <c r="N44" s="10">
        <v>1417</v>
      </c>
      <c r="O44" s="10">
        <v>4700</v>
      </c>
      <c r="P44" s="10">
        <v>12328</v>
      </c>
      <c r="Q44" s="10">
        <v>4295</v>
      </c>
      <c r="R44" s="10">
        <v>10553</v>
      </c>
      <c r="S44" s="10">
        <v>69973</v>
      </c>
      <c r="T44" s="10">
        <v>15256</v>
      </c>
      <c r="U44" s="10">
        <v>22.431190150478798</v>
      </c>
      <c r="V44" s="10">
        <v>20.625558995528035</v>
      </c>
      <c r="W44" s="10">
        <v>0</v>
      </c>
      <c r="X44" s="10">
        <v>21.841606960081879</v>
      </c>
      <c r="Y44" s="10">
        <v>26.155839416058395</v>
      </c>
      <c r="Z44" s="10">
        <v>0</v>
      </c>
      <c r="AA44" s="10">
        <v>0</v>
      </c>
      <c r="AB44" s="10">
        <v>28.265661554458021</v>
      </c>
      <c r="AC44" s="10">
        <v>0</v>
      </c>
      <c r="AD44" s="10">
        <v>0</v>
      </c>
      <c r="AE44" s="10">
        <v>17.326694411414984</v>
      </c>
      <c r="AF44" s="10">
        <v>36.938644986449866</v>
      </c>
      <c r="AG44" s="10">
        <v>-0.14114326040931544</v>
      </c>
      <c r="AH44" s="10">
        <v>25.686170212765958</v>
      </c>
      <c r="AI44" s="10">
        <v>35.446625567813108</v>
      </c>
      <c r="AJ44" s="10">
        <v>0</v>
      </c>
      <c r="AK44" s="10">
        <v>20.694761350407447</v>
      </c>
      <c r="AL44" s="10">
        <v>25.806974320098551</v>
      </c>
      <c r="AM44" s="10">
        <v>0</v>
      </c>
      <c r="AN44" s="10">
        <v>2</v>
      </c>
      <c r="AO44" s="10">
        <v>0</v>
      </c>
      <c r="AP44" s="10">
        <v>12</v>
      </c>
      <c r="AQ44" s="10">
        <v>16</v>
      </c>
      <c r="AR44" s="10">
        <v>0</v>
      </c>
      <c r="AS44" s="10">
        <v>0</v>
      </c>
      <c r="AT44" s="10">
        <v>3</v>
      </c>
      <c r="AU44" s="10">
        <v>5</v>
      </c>
      <c r="AV44" s="10">
        <v>0</v>
      </c>
      <c r="AW44" s="10">
        <v>1</v>
      </c>
      <c r="AX44" s="10">
        <v>2</v>
      </c>
      <c r="AY44" s="10">
        <v>7</v>
      </c>
      <c r="AZ44" s="10">
        <v>16</v>
      </c>
      <c r="BA44" s="10">
        <v>4</v>
      </c>
      <c r="BB44" s="10">
        <v>10</v>
      </c>
      <c r="BC44" s="10">
        <v>78</v>
      </c>
      <c r="BD44" s="10">
        <v>2</v>
      </c>
      <c r="BE44" s="10">
        <v>0</v>
      </c>
      <c r="BF44" s="10">
        <v>13</v>
      </c>
      <c r="BG44" s="10">
        <v>7</v>
      </c>
      <c r="BH44" s="10">
        <v>0</v>
      </c>
      <c r="BI44" s="10">
        <v>0</v>
      </c>
      <c r="BJ44" s="10">
        <v>6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8</v>
      </c>
      <c r="BQ44" s="10">
        <v>0</v>
      </c>
      <c r="BR44" s="10">
        <v>2</v>
      </c>
      <c r="BS44" s="10">
        <v>38</v>
      </c>
    </row>
    <row r="45" spans="1:71" x14ac:dyDescent="0.55000000000000004">
      <c r="A45" s="10">
        <v>997</v>
      </c>
      <c r="B45" s="10">
        <v>2022</v>
      </c>
      <c r="C45" s="10">
        <v>6588</v>
      </c>
      <c r="D45" s="10">
        <v>17541</v>
      </c>
      <c r="E45" s="10">
        <v>10187</v>
      </c>
      <c r="F45" s="10">
        <v>3557</v>
      </c>
      <c r="G45" s="10">
        <v>3663</v>
      </c>
      <c r="H45" s="10">
        <v>0</v>
      </c>
      <c r="I45" s="10">
        <v>5670</v>
      </c>
      <c r="J45" s="10">
        <v>0</v>
      </c>
      <c r="K45" s="10">
        <v>0</v>
      </c>
      <c r="L45" s="10">
        <v>0</v>
      </c>
      <c r="M45" s="10">
        <v>1653</v>
      </c>
      <c r="N45" s="10">
        <v>0</v>
      </c>
      <c r="O45" s="10">
        <v>5492</v>
      </c>
      <c r="P45" s="10">
        <v>5100</v>
      </c>
      <c r="Q45" s="10">
        <v>2006</v>
      </c>
      <c r="R45" s="10">
        <v>7561</v>
      </c>
      <c r="S45" s="10">
        <v>46119</v>
      </c>
      <c r="T45" s="10">
        <v>22899</v>
      </c>
      <c r="U45" s="10">
        <v>23.902246508803884</v>
      </c>
      <c r="V45" s="10">
        <v>24.658172282081981</v>
      </c>
      <c r="W45" s="10">
        <v>49.912178239238585</v>
      </c>
      <c r="X45" s="10">
        <v>0</v>
      </c>
      <c r="Y45" s="10">
        <v>0</v>
      </c>
      <c r="Z45" s="10">
        <v>0</v>
      </c>
      <c r="AA45" s="10">
        <v>0</v>
      </c>
      <c r="AB45" s="10">
        <v>30.20617283950617</v>
      </c>
      <c r="AC45" s="10">
        <v>57.424900057110221</v>
      </c>
      <c r="AD45" s="10">
        <v>0</v>
      </c>
      <c r="AE45" s="10">
        <v>0</v>
      </c>
      <c r="AF45" s="10">
        <v>41.293405928614639</v>
      </c>
      <c r="AG45" s="10">
        <v>0</v>
      </c>
      <c r="AH45" s="10">
        <v>0</v>
      </c>
      <c r="AI45" s="10">
        <v>43.538235294117641</v>
      </c>
      <c r="AJ45" s="10">
        <v>78.006332757628101</v>
      </c>
      <c r="AK45" s="10">
        <v>29.762213359920242</v>
      </c>
      <c r="AL45" s="10">
        <v>27.179341356963366</v>
      </c>
      <c r="AM45" s="10">
        <v>0</v>
      </c>
      <c r="AN45" s="10">
        <v>2</v>
      </c>
      <c r="AO45" s="10">
        <v>0</v>
      </c>
      <c r="AP45" s="10">
        <v>7</v>
      </c>
      <c r="AQ45" s="10">
        <v>0</v>
      </c>
      <c r="AR45" s="10">
        <v>0</v>
      </c>
      <c r="AS45" s="10">
        <v>0</v>
      </c>
      <c r="AT45" s="10">
        <v>1</v>
      </c>
      <c r="AU45" s="10">
        <v>0</v>
      </c>
      <c r="AV45" s="10">
        <v>0</v>
      </c>
      <c r="AW45" s="10">
        <v>0</v>
      </c>
      <c r="AX45" s="10">
        <v>1</v>
      </c>
      <c r="AY45" s="10">
        <v>0</v>
      </c>
      <c r="AZ45" s="10">
        <v>1</v>
      </c>
      <c r="BA45" s="10">
        <v>1</v>
      </c>
      <c r="BB45" s="10">
        <v>3</v>
      </c>
      <c r="BC45" s="10">
        <v>16</v>
      </c>
      <c r="BD45" s="10">
        <v>1</v>
      </c>
      <c r="BE45" s="10">
        <v>0</v>
      </c>
      <c r="BF45" s="10">
        <v>16</v>
      </c>
      <c r="BG45" s="10">
        <v>0</v>
      </c>
      <c r="BH45" s="10">
        <v>0</v>
      </c>
      <c r="BI45" s="10">
        <v>0</v>
      </c>
      <c r="BJ45" s="10">
        <v>1</v>
      </c>
      <c r="BK45" s="10">
        <v>0</v>
      </c>
      <c r="BL45" s="10">
        <v>0</v>
      </c>
      <c r="BM45" s="10">
        <v>0</v>
      </c>
      <c r="BN45" s="10">
        <v>2</v>
      </c>
      <c r="BO45" s="10">
        <v>0</v>
      </c>
      <c r="BP45" s="10">
        <v>0</v>
      </c>
      <c r="BQ45" s="10">
        <v>0</v>
      </c>
      <c r="BR45" s="10">
        <v>3</v>
      </c>
      <c r="BS45" s="10">
        <v>23</v>
      </c>
    </row>
    <row r="46" spans="1:71" x14ac:dyDescent="0.55000000000000004">
      <c r="A46" s="10">
        <v>422</v>
      </c>
      <c r="B46" s="10">
        <v>2022</v>
      </c>
      <c r="C46" s="10">
        <v>5141</v>
      </c>
      <c r="D46" s="10">
        <v>17901</v>
      </c>
      <c r="E46" s="10">
        <v>13344</v>
      </c>
      <c r="F46" s="10">
        <v>5018</v>
      </c>
      <c r="G46" s="10">
        <v>1755</v>
      </c>
      <c r="H46" s="10">
        <v>2217</v>
      </c>
      <c r="I46" s="10">
        <v>10328</v>
      </c>
      <c r="J46" s="10">
        <v>0</v>
      </c>
      <c r="K46" s="10">
        <v>0</v>
      </c>
      <c r="L46" s="10">
        <v>3533</v>
      </c>
      <c r="M46" s="10">
        <v>2996</v>
      </c>
      <c r="N46" s="10">
        <v>0</v>
      </c>
      <c r="O46" s="10">
        <v>2469</v>
      </c>
      <c r="P46" s="10">
        <v>5086</v>
      </c>
      <c r="Q46" s="10">
        <v>1533</v>
      </c>
      <c r="R46" s="10">
        <v>1845</v>
      </c>
      <c r="S46" s="10">
        <v>48363</v>
      </c>
      <c r="T46" s="10">
        <v>24803</v>
      </c>
      <c r="U46" s="10">
        <v>13.92005446411204</v>
      </c>
      <c r="V46" s="10">
        <v>22.348807329199484</v>
      </c>
      <c r="W46" s="10">
        <v>42.473588342440806</v>
      </c>
      <c r="X46" s="10">
        <v>14.979766187050361</v>
      </c>
      <c r="Y46" s="10">
        <v>25.253886010362695</v>
      </c>
      <c r="Z46" s="10">
        <v>15.177207977207976</v>
      </c>
      <c r="AA46" s="10">
        <v>12.499323410013533</v>
      </c>
      <c r="AB46" s="10">
        <v>34.035147172734312</v>
      </c>
      <c r="AC46" s="10">
        <v>50.48936170212766</v>
      </c>
      <c r="AD46" s="10">
        <v>0</v>
      </c>
      <c r="AE46" s="10">
        <v>19.06510048117747</v>
      </c>
      <c r="AF46" s="10">
        <v>45.716622162883851</v>
      </c>
      <c r="AG46" s="10">
        <v>0</v>
      </c>
      <c r="AH46" s="10">
        <v>23.419603078169299</v>
      </c>
      <c r="AI46" s="10">
        <v>41.523397561934729</v>
      </c>
      <c r="AJ46" s="10">
        <v>64.841463414634148</v>
      </c>
      <c r="AK46" s="10">
        <v>29.441617742987603</v>
      </c>
      <c r="AL46" s="10">
        <v>28.45311653116531</v>
      </c>
      <c r="AM46" s="10">
        <v>0</v>
      </c>
      <c r="AN46" s="10">
        <v>1</v>
      </c>
      <c r="AO46" s="10">
        <v>2</v>
      </c>
      <c r="AP46" s="10">
        <v>5</v>
      </c>
      <c r="AQ46" s="10">
        <v>3</v>
      </c>
      <c r="AR46" s="10">
        <v>0</v>
      </c>
      <c r="AS46" s="10">
        <v>0</v>
      </c>
      <c r="AT46" s="10">
        <v>3</v>
      </c>
      <c r="AU46" s="10">
        <v>1</v>
      </c>
      <c r="AV46" s="10">
        <v>0</v>
      </c>
      <c r="AW46" s="10">
        <v>2</v>
      </c>
      <c r="AX46" s="10">
        <v>1</v>
      </c>
      <c r="AY46" s="10">
        <v>0</v>
      </c>
      <c r="AZ46" s="10">
        <v>2</v>
      </c>
      <c r="BA46" s="10">
        <v>1</v>
      </c>
      <c r="BB46" s="10">
        <v>0</v>
      </c>
      <c r="BC46" s="10">
        <v>21</v>
      </c>
      <c r="BD46" s="10">
        <v>3</v>
      </c>
      <c r="BE46" s="10">
        <v>0</v>
      </c>
      <c r="BF46" s="10">
        <v>1</v>
      </c>
      <c r="BG46" s="10">
        <v>7</v>
      </c>
      <c r="BH46" s="10">
        <v>1</v>
      </c>
      <c r="BI46" s="10">
        <v>2</v>
      </c>
      <c r="BJ46" s="10">
        <v>0</v>
      </c>
      <c r="BK46" s="10">
        <v>0</v>
      </c>
      <c r="BL46" s="10">
        <v>0</v>
      </c>
      <c r="BM46" s="10">
        <v>0</v>
      </c>
      <c r="BN46" s="10">
        <v>1</v>
      </c>
      <c r="BO46" s="10">
        <v>0</v>
      </c>
      <c r="BP46" s="10">
        <v>0</v>
      </c>
      <c r="BQ46" s="10">
        <v>0</v>
      </c>
      <c r="BR46" s="10">
        <v>0</v>
      </c>
      <c r="BS46" s="10">
        <v>15</v>
      </c>
    </row>
    <row r="47" spans="1:71" x14ac:dyDescent="0.55000000000000004">
      <c r="A47" s="10">
        <v>937</v>
      </c>
      <c r="B47" s="10">
        <v>2022</v>
      </c>
      <c r="C47" s="10">
        <v>3799</v>
      </c>
      <c r="D47" s="10">
        <v>17907</v>
      </c>
      <c r="E47" s="10">
        <v>7458</v>
      </c>
      <c r="F47" s="10">
        <v>6969</v>
      </c>
      <c r="G47" s="10">
        <v>4936</v>
      </c>
      <c r="H47" s="10">
        <v>1183</v>
      </c>
      <c r="I47" s="10">
        <v>13395</v>
      </c>
      <c r="J47" s="10">
        <v>0</v>
      </c>
      <c r="K47" s="10">
        <v>0</v>
      </c>
      <c r="L47" s="10">
        <v>4390</v>
      </c>
      <c r="M47" s="10">
        <v>4882</v>
      </c>
      <c r="N47" s="10">
        <v>1043</v>
      </c>
      <c r="O47" s="10">
        <v>2112</v>
      </c>
      <c r="P47" s="10">
        <v>9760</v>
      </c>
      <c r="Q47" s="10">
        <v>2694</v>
      </c>
      <c r="R47" s="10">
        <v>16</v>
      </c>
      <c r="S47" s="10">
        <v>57886</v>
      </c>
      <c r="T47" s="10">
        <v>22658</v>
      </c>
      <c r="U47" s="10">
        <v>24.162937615161884</v>
      </c>
      <c r="V47" s="10">
        <v>24.948511755179538</v>
      </c>
      <c r="W47" s="10">
        <v>42.31669691470055</v>
      </c>
      <c r="X47" s="10">
        <v>20.566103513006166</v>
      </c>
      <c r="Y47" s="10">
        <v>41.262017506098438</v>
      </c>
      <c r="Z47" s="10">
        <v>16.528970826580228</v>
      </c>
      <c r="AA47" s="10">
        <v>18.619611158072697</v>
      </c>
      <c r="AB47" s="10">
        <v>32.610526315789471</v>
      </c>
      <c r="AC47" s="10">
        <v>51.519324986390849</v>
      </c>
      <c r="AD47" s="10">
        <v>0</v>
      </c>
      <c r="AE47" s="10">
        <v>24.797722095671983</v>
      </c>
      <c r="AF47" s="10">
        <v>46.785948381810734</v>
      </c>
      <c r="AG47" s="10">
        <v>33.492809204218595</v>
      </c>
      <c r="AH47" s="10">
        <v>25.714962121212121</v>
      </c>
      <c r="AI47" s="10">
        <v>40.331762295081973</v>
      </c>
      <c r="AJ47" s="10">
        <v>92.4051094890511</v>
      </c>
      <c r="AK47" s="10">
        <v>31.855233853006681</v>
      </c>
      <c r="AL47" s="10">
        <v>22</v>
      </c>
      <c r="AM47" s="10">
        <v>0</v>
      </c>
      <c r="AN47" s="10">
        <v>2</v>
      </c>
      <c r="AO47" s="10">
        <v>4</v>
      </c>
      <c r="AP47" s="10">
        <v>5</v>
      </c>
      <c r="AQ47" s="10">
        <v>10</v>
      </c>
      <c r="AR47" s="10">
        <v>1</v>
      </c>
      <c r="AS47" s="10">
        <v>0</v>
      </c>
      <c r="AT47" s="10">
        <v>6</v>
      </c>
      <c r="AU47" s="10">
        <v>2</v>
      </c>
      <c r="AV47" s="10">
        <v>0</v>
      </c>
      <c r="AW47" s="10">
        <v>2</v>
      </c>
      <c r="AX47" s="10">
        <v>2</v>
      </c>
      <c r="AY47" s="10">
        <v>1</v>
      </c>
      <c r="AZ47" s="10">
        <v>2</v>
      </c>
      <c r="BA47" s="10">
        <v>1</v>
      </c>
      <c r="BB47" s="10">
        <v>0</v>
      </c>
      <c r="BC47" s="10">
        <v>38</v>
      </c>
      <c r="BD47" s="10">
        <v>0</v>
      </c>
      <c r="BE47" s="10">
        <v>0</v>
      </c>
      <c r="BF47" s="10">
        <v>3</v>
      </c>
      <c r="BG47" s="10">
        <v>7</v>
      </c>
      <c r="BH47" s="10">
        <v>1</v>
      </c>
      <c r="BI47" s="10">
        <v>1</v>
      </c>
      <c r="BJ47" s="10">
        <v>2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1</v>
      </c>
      <c r="BQ47" s="10">
        <v>0</v>
      </c>
      <c r="BR47" s="10">
        <v>0</v>
      </c>
      <c r="BS47" s="10">
        <v>15</v>
      </c>
    </row>
    <row r="48" spans="1:71" x14ac:dyDescent="0.55000000000000004">
      <c r="A48" s="10">
        <v>311</v>
      </c>
      <c r="B48" s="10">
        <v>2022</v>
      </c>
      <c r="C48" s="10">
        <v>2036</v>
      </c>
      <c r="D48" s="10">
        <v>17983</v>
      </c>
      <c r="E48" s="10">
        <v>10515</v>
      </c>
      <c r="F48" s="10">
        <v>5744</v>
      </c>
      <c r="G48" s="10">
        <v>0</v>
      </c>
      <c r="H48" s="10">
        <v>0</v>
      </c>
      <c r="I48" s="10">
        <v>4002</v>
      </c>
      <c r="J48" s="10">
        <v>223</v>
      </c>
      <c r="K48" s="10">
        <v>0</v>
      </c>
      <c r="L48" s="10">
        <v>863</v>
      </c>
      <c r="M48" s="10">
        <v>3988</v>
      </c>
      <c r="N48" s="10">
        <v>0</v>
      </c>
      <c r="O48" s="10">
        <v>1851</v>
      </c>
      <c r="P48" s="10">
        <v>15132</v>
      </c>
      <c r="Q48" s="10">
        <v>1349</v>
      </c>
      <c r="R48" s="10">
        <v>106</v>
      </c>
      <c r="S48" s="10">
        <v>45682</v>
      </c>
      <c r="T48" s="10">
        <v>18110</v>
      </c>
      <c r="U48" s="10">
        <v>23.482809430255401</v>
      </c>
      <c r="V48" s="10">
        <v>22.273369293221375</v>
      </c>
      <c r="W48" s="10">
        <v>34.533685601056803</v>
      </c>
      <c r="X48" s="10">
        <v>20.940085592011414</v>
      </c>
      <c r="Y48" s="10">
        <v>28.648850974930365</v>
      </c>
      <c r="Z48" s="10">
        <v>0</v>
      </c>
      <c r="AA48" s="10">
        <v>0</v>
      </c>
      <c r="AB48" s="10">
        <v>32.635932033983011</v>
      </c>
      <c r="AC48" s="10">
        <v>52.571428571428569</v>
      </c>
      <c r="AD48" s="10">
        <v>0</v>
      </c>
      <c r="AE48" s="10">
        <v>21.038238702201621</v>
      </c>
      <c r="AF48" s="10">
        <v>41.180541624874621</v>
      </c>
      <c r="AG48" s="10">
        <v>0</v>
      </c>
      <c r="AH48" s="10">
        <v>25.512155591572125</v>
      </c>
      <c r="AI48" s="10">
        <v>41.280266983875229</v>
      </c>
      <c r="AJ48" s="10">
        <v>62.375</v>
      </c>
      <c r="AK48" s="10">
        <v>24.467753891771682</v>
      </c>
      <c r="AL48" s="10">
        <v>10.094339622641508</v>
      </c>
      <c r="AM48" s="10">
        <v>36.125</v>
      </c>
      <c r="AN48" s="10">
        <v>1</v>
      </c>
      <c r="AO48" s="10">
        <v>2</v>
      </c>
      <c r="AP48" s="10">
        <v>5</v>
      </c>
      <c r="AQ48" s="10">
        <v>3</v>
      </c>
      <c r="AR48" s="10">
        <v>0</v>
      </c>
      <c r="AS48" s="10">
        <v>0</v>
      </c>
      <c r="AT48" s="10">
        <v>1</v>
      </c>
      <c r="AU48" s="10">
        <v>0</v>
      </c>
      <c r="AV48" s="10">
        <v>0</v>
      </c>
      <c r="AW48" s="10">
        <v>1</v>
      </c>
      <c r="AX48" s="10">
        <v>1</v>
      </c>
      <c r="AY48" s="10">
        <v>1</v>
      </c>
      <c r="AZ48" s="10">
        <v>4</v>
      </c>
      <c r="BA48" s="10">
        <v>0</v>
      </c>
      <c r="BB48" s="10">
        <v>0</v>
      </c>
      <c r="BC48" s="10">
        <v>19</v>
      </c>
      <c r="BD48" s="10">
        <v>0</v>
      </c>
      <c r="BE48" s="10">
        <v>0</v>
      </c>
      <c r="BF48" s="10">
        <v>2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1</v>
      </c>
      <c r="BR48" s="10">
        <v>0</v>
      </c>
      <c r="BS48" s="10">
        <v>3</v>
      </c>
    </row>
    <row r="49" spans="1:71" x14ac:dyDescent="0.55000000000000004">
      <c r="A49" s="10">
        <v>931</v>
      </c>
      <c r="B49" s="10">
        <v>2022</v>
      </c>
      <c r="C49" s="10">
        <v>5566</v>
      </c>
      <c r="D49" s="10">
        <v>18260</v>
      </c>
      <c r="E49" s="10">
        <v>22122</v>
      </c>
      <c r="F49" s="10">
        <v>6567</v>
      </c>
      <c r="G49" s="10">
        <v>6247</v>
      </c>
      <c r="H49" s="10">
        <v>2098</v>
      </c>
      <c r="I49" s="10">
        <v>8769</v>
      </c>
      <c r="J49" s="10">
        <v>1393</v>
      </c>
      <c r="K49" s="10">
        <v>0</v>
      </c>
      <c r="L49" s="10">
        <v>6206</v>
      </c>
      <c r="M49" s="10">
        <v>8353</v>
      </c>
      <c r="N49" s="10">
        <v>2195</v>
      </c>
      <c r="O49" s="10">
        <v>6641</v>
      </c>
      <c r="P49" s="10">
        <v>15369</v>
      </c>
      <c r="Q49" s="10">
        <v>2326</v>
      </c>
      <c r="R49" s="10">
        <v>6447</v>
      </c>
      <c r="S49" s="10">
        <v>74884</v>
      </c>
      <c r="T49" s="10">
        <v>43675</v>
      </c>
      <c r="U49" s="10">
        <v>18.814408911246854</v>
      </c>
      <c r="V49" s="10">
        <v>22.335980284775466</v>
      </c>
      <c r="W49" s="10">
        <v>35.988478060138902</v>
      </c>
      <c r="X49" s="10">
        <v>19.608308471205135</v>
      </c>
      <c r="Y49" s="10">
        <v>32.848180295416476</v>
      </c>
      <c r="Z49" s="10">
        <v>17.102449175604288</v>
      </c>
      <c r="AA49" s="10">
        <v>16.526692087702575</v>
      </c>
      <c r="AB49" s="10">
        <v>26.862812179267873</v>
      </c>
      <c r="AC49" s="10">
        <v>52.888120300751879</v>
      </c>
      <c r="AD49" s="10">
        <v>0</v>
      </c>
      <c r="AE49" s="10">
        <v>0</v>
      </c>
      <c r="AF49" s="10">
        <v>38.286005028133602</v>
      </c>
      <c r="AG49" s="10">
        <v>22.670615034168566</v>
      </c>
      <c r="AH49" s="10">
        <v>21.008131305526277</v>
      </c>
      <c r="AI49" s="10">
        <v>35.234367883401653</v>
      </c>
      <c r="AJ49" s="10">
        <v>63.775869759143617</v>
      </c>
      <c r="AK49" s="10">
        <v>28.688736027515048</v>
      </c>
      <c r="AL49" s="10">
        <v>19.977974251589888</v>
      </c>
      <c r="AM49" s="10">
        <v>37.69593613933236</v>
      </c>
      <c r="AN49" s="10">
        <v>2</v>
      </c>
      <c r="AO49" s="10">
        <v>0</v>
      </c>
      <c r="AP49" s="10">
        <v>6</v>
      </c>
      <c r="AQ49" s="10">
        <v>1</v>
      </c>
      <c r="AR49" s="10">
        <v>4</v>
      </c>
      <c r="AS49" s="10">
        <v>1</v>
      </c>
      <c r="AT49" s="10">
        <v>2</v>
      </c>
      <c r="AU49" s="10">
        <v>0</v>
      </c>
      <c r="AV49" s="10">
        <v>0</v>
      </c>
      <c r="AW49" s="10">
        <v>2</v>
      </c>
      <c r="AX49" s="10">
        <v>2</v>
      </c>
      <c r="AY49" s="10">
        <v>1</v>
      </c>
      <c r="AZ49" s="10">
        <v>5</v>
      </c>
      <c r="BA49" s="10">
        <v>2</v>
      </c>
      <c r="BB49" s="10">
        <v>1</v>
      </c>
      <c r="BC49" s="10">
        <v>29</v>
      </c>
      <c r="BD49" s="10">
        <v>1</v>
      </c>
      <c r="BE49" s="10">
        <v>0</v>
      </c>
      <c r="BF49" s="10">
        <v>6</v>
      </c>
      <c r="BG49" s="10">
        <v>0</v>
      </c>
      <c r="BH49" s="10">
        <v>0</v>
      </c>
      <c r="BI49" s="10">
        <v>0</v>
      </c>
      <c r="BJ49" s="10">
        <v>1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1</v>
      </c>
      <c r="BQ49" s="10">
        <v>0</v>
      </c>
      <c r="BR49" s="10">
        <v>1</v>
      </c>
      <c r="BS49" s="10">
        <v>10</v>
      </c>
    </row>
    <row r="50" spans="1:71" x14ac:dyDescent="0.55000000000000004">
      <c r="A50" s="10">
        <v>289</v>
      </c>
      <c r="B50" s="10">
        <v>2022</v>
      </c>
      <c r="C50" s="10">
        <v>4896</v>
      </c>
      <c r="D50" s="10">
        <v>18460</v>
      </c>
      <c r="E50" s="10">
        <v>9791</v>
      </c>
      <c r="F50" s="10">
        <v>1176</v>
      </c>
      <c r="G50" s="10">
        <v>4210</v>
      </c>
      <c r="H50" s="10">
        <v>785</v>
      </c>
      <c r="I50" s="10">
        <v>4981</v>
      </c>
      <c r="J50" s="10">
        <v>0</v>
      </c>
      <c r="K50" s="10">
        <v>0</v>
      </c>
      <c r="L50" s="10">
        <v>1755</v>
      </c>
      <c r="M50" s="10">
        <v>1432</v>
      </c>
      <c r="N50" s="10">
        <v>0</v>
      </c>
      <c r="O50" s="10">
        <v>3178</v>
      </c>
      <c r="P50" s="10">
        <v>3975</v>
      </c>
      <c r="Q50" s="10">
        <v>232</v>
      </c>
      <c r="R50" s="10">
        <v>385</v>
      </c>
      <c r="S50" s="10">
        <v>36116</v>
      </c>
      <c r="T50" s="10">
        <v>19140</v>
      </c>
      <c r="U50" s="10">
        <v>17.548202614379086</v>
      </c>
      <c r="V50" s="10">
        <v>18.855037919826653</v>
      </c>
      <c r="W50" s="10">
        <v>23.573261309925723</v>
      </c>
      <c r="X50" s="10">
        <v>8.2196915534674702</v>
      </c>
      <c r="Y50" s="10">
        <v>64.273809523809518</v>
      </c>
      <c r="Z50" s="10">
        <v>16.895486935866984</v>
      </c>
      <c r="AA50" s="10">
        <v>12.970700636942674</v>
      </c>
      <c r="AB50" s="10">
        <v>28.24774141738607</v>
      </c>
      <c r="AC50" s="10">
        <v>38.172549019607843</v>
      </c>
      <c r="AD50" s="10">
        <v>0</v>
      </c>
      <c r="AE50" s="10">
        <v>24.000569800569803</v>
      </c>
      <c r="AF50" s="10">
        <v>46.060754189944127</v>
      </c>
      <c r="AG50" s="10">
        <v>0</v>
      </c>
      <c r="AH50" s="10">
        <v>24.785714285714285</v>
      </c>
      <c r="AI50" s="10">
        <v>38.481006289308176</v>
      </c>
      <c r="AJ50" s="10">
        <v>50.702720207253883</v>
      </c>
      <c r="AK50" s="10">
        <v>26.288793103448278</v>
      </c>
      <c r="AL50" s="10">
        <v>20.979220779220778</v>
      </c>
      <c r="AM50" s="10">
        <v>0</v>
      </c>
      <c r="AN50" s="10">
        <v>1</v>
      </c>
      <c r="AO50" s="10">
        <v>1</v>
      </c>
      <c r="AP50" s="10">
        <v>8</v>
      </c>
      <c r="AQ50" s="10">
        <v>5</v>
      </c>
      <c r="AR50" s="10">
        <v>2</v>
      </c>
      <c r="AS50" s="10">
        <v>0</v>
      </c>
      <c r="AT50" s="10">
        <v>3</v>
      </c>
      <c r="AU50" s="10">
        <v>2</v>
      </c>
      <c r="AV50" s="10">
        <v>0</v>
      </c>
      <c r="AW50" s="10">
        <v>1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23</v>
      </c>
      <c r="BD50" s="10">
        <v>4</v>
      </c>
      <c r="BE50" s="10">
        <v>0</v>
      </c>
      <c r="BF50" s="10">
        <v>3</v>
      </c>
      <c r="BG50" s="10">
        <v>4</v>
      </c>
      <c r="BH50" s="10">
        <v>1</v>
      </c>
      <c r="BI50" s="10">
        <v>1</v>
      </c>
      <c r="BJ50" s="10">
        <v>1</v>
      </c>
      <c r="BK50" s="10">
        <v>0</v>
      </c>
      <c r="BL50" s="10">
        <v>0</v>
      </c>
      <c r="BM50" s="10">
        <v>1</v>
      </c>
      <c r="BN50" s="10">
        <v>0</v>
      </c>
      <c r="BO50" s="10">
        <v>0</v>
      </c>
      <c r="BP50" s="10">
        <v>2</v>
      </c>
      <c r="BQ50" s="10">
        <v>0</v>
      </c>
      <c r="BR50" s="10">
        <v>1</v>
      </c>
      <c r="BS50" s="10">
        <v>18</v>
      </c>
    </row>
    <row r="51" spans="1:71" x14ac:dyDescent="0.55000000000000004">
      <c r="A51" s="10">
        <v>833</v>
      </c>
      <c r="B51" s="10">
        <v>2022</v>
      </c>
      <c r="C51" s="10">
        <v>5757</v>
      </c>
      <c r="D51" s="10">
        <v>18865</v>
      </c>
      <c r="E51" s="10">
        <v>6257</v>
      </c>
      <c r="F51" s="10">
        <v>7747</v>
      </c>
      <c r="G51" s="10">
        <v>6661</v>
      </c>
      <c r="H51" s="10">
        <v>472</v>
      </c>
      <c r="I51" s="10">
        <v>10187</v>
      </c>
      <c r="J51" s="10">
        <v>0</v>
      </c>
      <c r="K51" s="10">
        <v>0</v>
      </c>
      <c r="L51" s="10">
        <v>3741</v>
      </c>
      <c r="M51" s="10">
        <v>3161</v>
      </c>
      <c r="N51" s="10">
        <v>0</v>
      </c>
      <c r="O51" s="10">
        <v>3899</v>
      </c>
      <c r="P51" s="10">
        <v>2896</v>
      </c>
      <c r="Q51" s="10">
        <v>2022</v>
      </c>
      <c r="R51" s="10">
        <v>3371</v>
      </c>
      <c r="S51" s="10">
        <v>50000</v>
      </c>
      <c r="T51" s="10">
        <v>25036</v>
      </c>
      <c r="U51" s="10">
        <v>19.85113774535348</v>
      </c>
      <c r="V51" s="10">
        <v>22.122979061754574</v>
      </c>
      <c r="W51" s="10">
        <v>35.133030990173843</v>
      </c>
      <c r="X51" s="10">
        <v>18.722710564168132</v>
      </c>
      <c r="Y51" s="10">
        <v>31.311346327610689</v>
      </c>
      <c r="Z51" s="10">
        <v>16.830205674823599</v>
      </c>
      <c r="AA51" s="10">
        <v>8.4703389830508478</v>
      </c>
      <c r="AB51" s="10">
        <v>25.949739864533225</v>
      </c>
      <c r="AC51" s="10">
        <v>53.634408602150536</v>
      </c>
      <c r="AD51" s="10">
        <v>0</v>
      </c>
      <c r="AE51" s="10">
        <v>4.5466452820101573</v>
      </c>
      <c r="AF51" s="10">
        <v>57.557418538437197</v>
      </c>
      <c r="AG51" s="10">
        <v>0</v>
      </c>
      <c r="AH51" s="10">
        <v>20.498589381892792</v>
      </c>
      <c r="AI51" s="10">
        <v>59.494129834254146</v>
      </c>
      <c r="AJ51" s="10">
        <v>69.821766561514195</v>
      </c>
      <c r="AK51" s="10">
        <v>26.520276953511374</v>
      </c>
      <c r="AL51" s="10">
        <v>24.003559774547611</v>
      </c>
      <c r="AM51" s="10">
        <v>0</v>
      </c>
      <c r="AN51" s="10">
        <v>3</v>
      </c>
      <c r="AO51" s="10">
        <v>4</v>
      </c>
      <c r="AP51" s="10">
        <v>2</v>
      </c>
      <c r="AQ51" s="10">
        <v>6</v>
      </c>
      <c r="AR51" s="10">
        <v>0</v>
      </c>
      <c r="AS51" s="10">
        <v>0</v>
      </c>
      <c r="AT51" s="10">
        <v>3</v>
      </c>
      <c r="AU51" s="10">
        <v>2</v>
      </c>
      <c r="AV51" s="10">
        <v>0</v>
      </c>
      <c r="AW51" s="10">
        <v>2</v>
      </c>
      <c r="AX51" s="10">
        <v>4</v>
      </c>
      <c r="AY51" s="10">
        <v>0</v>
      </c>
      <c r="AZ51" s="10">
        <v>1</v>
      </c>
      <c r="BA51" s="10">
        <v>1</v>
      </c>
      <c r="BB51" s="10">
        <v>1</v>
      </c>
      <c r="BC51" s="10">
        <v>29</v>
      </c>
      <c r="BD51" s="10">
        <v>0</v>
      </c>
      <c r="BE51" s="10">
        <v>0</v>
      </c>
      <c r="BF51" s="10">
        <v>2</v>
      </c>
      <c r="BG51" s="10">
        <v>5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1</v>
      </c>
      <c r="BS51" s="10">
        <v>8</v>
      </c>
    </row>
    <row r="52" spans="1:71" x14ac:dyDescent="0.55000000000000004">
      <c r="A52" s="10">
        <v>959</v>
      </c>
      <c r="B52" s="10">
        <v>2022</v>
      </c>
      <c r="C52" s="10">
        <v>4281</v>
      </c>
      <c r="D52" s="10">
        <v>18880</v>
      </c>
      <c r="E52" s="10">
        <v>17413</v>
      </c>
      <c r="F52" s="10">
        <v>7853</v>
      </c>
      <c r="G52" s="10">
        <v>6656</v>
      </c>
      <c r="H52" s="10">
        <v>0</v>
      </c>
      <c r="I52" s="10">
        <v>5616</v>
      </c>
      <c r="J52" s="10">
        <v>0</v>
      </c>
      <c r="K52" s="10">
        <v>0</v>
      </c>
      <c r="L52" s="10">
        <v>5738</v>
      </c>
      <c r="M52" s="10">
        <v>4289</v>
      </c>
      <c r="N52" s="10">
        <v>0</v>
      </c>
      <c r="O52" s="10">
        <v>2898</v>
      </c>
      <c r="P52" s="10">
        <v>8240</v>
      </c>
      <c r="Q52" s="10">
        <v>1472</v>
      </c>
      <c r="R52" s="10">
        <v>2109</v>
      </c>
      <c r="S52" s="10">
        <v>50625</v>
      </c>
      <c r="T52" s="10">
        <v>34820</v>
      </c>
      <c r="U52" s="10">
        <v>18.492174725531417</v>
      </c>
      <c r="V52" s="10">
        <v>39.724523305084752</v>
      </c>
      <c r="W52" s="10">
        <v>23.746362339514977</v>
      </c>
      <c r="X52" s="10">
        <v>0</v>
      </c>
      <c r="Y52" s="10">
        <v>0</v>
      </c>
      <c r="Z52" s="10">
        <v>0</v>
      </c>
      <c r="AA52" s="10">
        <v>0</v>
      </c>
      <c r="AB52" s="10">
        <v>37.164529914529915</v>
      </c>
      <c r="AC52" s="10">
        <v>24.89023372287145</v>
      </c>
      <c r="AD52" s="10">
        <v>0</v>
      </c>
      <c r="AE52" s="10">
        <v>19.459044963401883</v>
      </c>
      <c r="AF52" s="10">
        <v>45.748659361156442</v>
      </c>
      <c r="AG52" s="10">
        <v>0</v>
      </c>
      <c r="AH52" s="10">
        <v>0</v>
      </c>
      <c r="AI52" s="10">
        <v>45.091383495145635</v>
      </c>
      <c r="AJ52" s="10">
        <v>57.503012048192772</v>
      </c>
      <c r="AK52" s="10">
        <v>30.033967391304348</v>
      </c>
      <c r="AL52" s="10">
        <v>29.727358937885253</v>
      </c>
      <c r="AM52" s="10">
        <v>0</v>
      </c>
      <c r="AN52" s="10">
        <v>2</v>
      </c>
      <c r="AO52" s="10">
        <v>0</v>
      </c>
      <c r="AP52" s="10">
        <v>6</v>
      </c>
      <c r="AQ52" s="10">
        <v>0</v>
      </c>
      <c r="AR52" s="10">
        <v>0</v>
      </c>
      <c r="AS52" s="10">
        <v>0</v>
      </c>
      <c r="AT52" s="10">
        <v>3</v>
      </c>
      <c r="AU52" s="10">
        <v>0</v>
      </c>
      <c r="AV52" s="10">
        <v>0</v>
      </c>
      <c r="AW52" s="10">
        <v>3</v>
      </c>
      <c r="AX52" s="10">
        <v>3</v>
      </c>
      <c r="AY52" s="10">
        <v>0</v>
      </c>
      <c r="AZ52" s="10">
        <v>1</v>
      </c>
      <c r="BA52" s="10">
        <v>1</v>
      </c>
      <c r="BB52" s="10">
        <v>2</v>
      </c>
      <c r="BC52" s="10">
        <v>21</v>
      </c>
      <c r="BD52" s="10">
        <v>0</v>
      </c>
      <c r="BE52" s="10">
        <v>0</v>
      </c>
      <c r="BF52" s="10">
        <v>14</v>
      </c>
      <c r="BG52" s="10">
        <v>0</v>
      </c>
      <c r="BH52" s="10">
        <v>0</v>
      </c>
      <c r="BI52" s="10">
        <v>0</v>
      </c>
      <c r="BJ52" s="10">
        <v>3</v>
      </c>
      <c r="BK52" s="10">
        <v>0</v>
      </c>
      <c r="BL52" s="10">
        <v>0</v>
      </c>
      <c r="BM52" s="10">
        <v>1</v>
      </c>
      <c r="BN52" s="10">
        <v>2</v>
      </c>
      <c r="BO52" s="10">
        <v>0</v>
      </c>
      <c r="BP52" s="10">
        <v>0</v>
      </c>
      <c r="BQ52" s="10">
        <v>0</v>
      </c>
      <c r="BR52" s="10">
        <v>0</v>
      </c>
      <c r="BS52" s="10">
        <v>20</v>
      </c>
    </row>
    <row r="53" spans="1:71" x14ac:dyDescent="0.55000000000000004">
      <c r="A53" s="10">
        <v>568</v>
      </c>
      <c r="B53" s="10">
        <v>2022</v>
      </c>
      <c r="C53" s="10">
        <v>4532</v>
      </c>
      <c r="D53" s="10">
        <v>18960</v>
      </c>
      <c r="E53" s="10">
        <v>13361</v>
      </c>
      <c r="F53" s="10">
        <v>5205</v>
      </c>
      <c r="G53" s="10">
        <v>5201</v>
      </c>
      <c r="H53" s="10">
        <v>1664</v>
      </c>
      <c r="I53" s="10">
        <v>4275</v>
      </c>
      <c r="J53" s="10">
        <v>0</v>
      </c>
      <c r="K53" s="10">
        <v>0</v>
      </c>
      <c r="L53" s="10">
        <v>2265</v>
      </c>
      <c r="M53" s="10">
        <v>3993</v>
      </c>
      <c r="N53" s="10">
        <v>0</v>
      </c>
      <c r="O53" s="10">
        <v>2136</v>
      </c>
      <c r="P53" s="10">
        <v>5634</v>
      </c>
      <c r="Q53" s="10">
        <v>2087</v>
      </c>
      <c r="R53" s="10">
        <v>9432</v>
      </c>
      <c r="S53" s="10">
        <v>51178</v>
      </c>
      <c r="T53" s="10">
        <v>27567</v>
      </c>
      <c r="U53" s="10">
        <v>17.794130626654898</v>
      </c>
      <c r="V53" s="10">
        <v>20.000263713080169</v>
      </c>
      <c r="W53" s="10">
        <v>37.481390257252329</v>
      </c>
      <c r="X53" s="10">
        <v>16.226704587979942</v>
      </c>
      <c r="Y53" s="10">
        <v>35.663976945244961</v>
      </c>
      <c r="Z53" s="10">
        <v>15.58008075370121</v>
      </c>
      <c r="AA53" s="10">
        <v>12.181490384615385</v>
      </c>
      <c r="AB53" s="10">
        <v>30.070877192982454</v>
      </c>
      <c r="AC53" s="10">
        <v>54.440366972477065</v>
      </c>
      <c r="AD53" s="10">
        <v>0</v>
      </c>
      <c r="AE53" s="10">
        <v>21.199116997792494</v>
      </c>
      <c r="AF53" s="10">
        <v>40.319308790383168</v>
      </c>
      <c r="AG53" s="10">
        <v>0</v>
      </c>
      <c r="AH53" s="10">
        <v>24.555243445692884</v>
      </c>
      <c r="AI53" s="10">
        <v>40.02964146254881</v>
      </c>
      <c r="AJ53" s="10">
        <v>64.315601023017905</v>
      </c>
      <c r="AK53" s="10">
        <v>29.084331576425487</v>
      </c>
      <c r="AL53" s="10">
        <v>23.621713316369807</v>
      </c>
      <c r="AM53" s="10">
        <v>36.695652173913039</v>
      </c>
      <c r="AN53" s="10">
        <v>2</v>
      </c>
      <c r="AO53" s="10">
        <v>1</v>
      </c>
      <c r="AP53" s="10">
        <v>6</v>
      </c>
      <c r="AQ53" s="10">
        <v>3</v>
      </c>
      <c r="AR53" s="10">
        <v>2</v>
      </c>
      <c r="AS53" s="10">
        <v>0</v>
      </c>
      <c r="AT53" s="10">
        <v>1</v>
      </c>
      <c r="AU53" s="10">
        <v>1</v>
      </c>
      <c r="AV53" s="10">
        <v>0</v>
      </c>
      <c r="AW53" s="10">
        <v>1</v>
      </c>
      <c r="AX53" s="10">
        <v>2</v>
      </c>
      <c r="AY53" s="10">
        <v>0</v>
      </c>
      <c r="AZ53" s="10">
        <v>1</v>
      </c>
      <c r="BA53" s="10">
        <v>1</v>
      </c>
      <c r="BB53" s="10">
        <v>2</v>
      </c>
      <c r="BC53" s="10">
        <v>23</v>
      </c>
      <c r="BD53" s="10">
        <v>1</v>
      </c>
      <c r="BE53" s="10">
        <v>1</v>
      </c>
      <c r="BF53" s="10">
        <v>5</v>
      </c>
      <c r="BG53" s="10">
        <v>7</v>
      </c>
      <c r="BH53" s="10">
        <v>2</v>
      </c>
      <c r="BI53" s="10">
        <v>2</v>
      </c>
      <c r="BJ53" s="10">
        <v>1</v>
      </c>
      <c r="BK53" s="10">
        <v>0</v>
      </c>
      <c r="BL53" s="10">
        <v>0</v>
      </c>
      <c r="BM53" s="10">
        <v>1</v>
      </c>
      <c r="BN53" s="10">
        <v>0</v>
      </c>
      <c r="BO53" s="10">
        <v>0</v>
      </c>
      <c r="BP53" s="10">
        <v>1</v>
      </c>
      <c r="BQ53" s="10">
        <v>0</v>
      </c>
      <c r="BR53" s="10">
        <v>3</v>
      </c>
      <c r="BS53" s="10">
        <v>24</v>
      </c>
    </row>
    <row r="54" spans="1:71" x14ac:dyDescent="0.55000000000000004">
      <c r="A54" s="10">
        <v>277</v>
      </c>
      <c r="B54" s="10">
        <v>2022</v>
      </c>
      <c r="C54" s="10">
        <v>6780</v>
      </c>
      <c r="D54" s="10">
        <v>19522</v>
      </c>
      <c r="E54" s="10">
        <v>10625</v>
      </c>
      <c r="F54" s="10">
        <v>4025</v>
      </c>
      <c r="G54" s="10">
        <v>3737</v>
      </c>
      <c r="H54" s="10">
        <v>1408</v>
      </c>
      <c r="I54" s="10">
        <v>10854</v>
      </c>
      <c r="J54" s="10">
        <v>0</v>
      </c>
      <c r="K54" s="10">
        <v>0</v>
      </c>
      <c r="L54" s="10">
        <v>1157</v>
      </c>
      <c r="M54" s="10">
        <v>3771</v>
      </c>
      <c r="N54" s="10">
        <v>226</v>
      </c>
      <c r="O54" s="10">
        <v>2694</v>
      </c>
      <c r="P54" s="10">
        <v>5313</v>
      </c>
      <c r="Q54" s="10">
        <v>1195</v>
      </c>
      <c r="R54" s="10">
        <v>0</v>
      </c>
      <c r="S54" s="10">
        <v>48818</v>
      </c>
      <c r="T54" s="10">
        <v>22489</v>
      </c>
      <c r="U54" s="10">
        <v>25.704867256637165</v>
      </c>
      <c r="V54" s="10">
        <v>31.625192090974288</v>
      </c>
      <c r="W54" s="10">
        <v>34.078431372549019</v>
      </c>
      <c r="X54" s="10">
        <v>0</v>
      </c>
      <c r="Y54" s="10">
        <v>0</v>
      </c>
      <c r="Z54" s="10">
        <v>0</v>
      </c>
      <c r="AA54" s="10">
        <v>0</v>
      </c>
      <c r="AB54" s="10">
        <v>33.037405564768747</v>
      </c>
      <c r="AC54" s="10">
        <v>0</v>
      </c>
      <c r="AD54" s="10">
        <v>0</v>
      </c>
      <c r="AE54" s="10">
        <v>19.361279170267935</v>
      </c>
      <c r="AF54" s="10">
        <v>67.411827101564569</v>
      </c>
      <c r="AG54" s="10">
        <v>17.929203539823007</v>
      </c>
      <c r="AH54" s="10">
        <v>0</v>
      </c>
      <c r="AI54" s="10">
        <v>46.381705251270468</v>
      </c>
      <c r="AJ54" s="10">
        <v>0</v>
      </c>
      <c r="AK54" s="10">
        <v>36.508786610878659</v>
      </c>
      <c r="AL54" s="10">
        <v>0</v>
      </c>
      <c r="AM54" s="10">
        <v>0</v>
      </c>
      <c r="AN54" s="10">
        <v>4</v>
      </c>
      <c r="AO54" s="10">
        <v>0</v>
      </c>
      <c r="AP54" s="10">
        <v>11</v>
      </c>
      <c r="AQ54" s="10">
        <v>0</v>
      </c>
      <c r="AR54" s="10">
        <v>0</v>
      </c>
      <c r="AS54" s="10">
        <v>0</v>
      </c>
      <c r="AT54" s="10">
        <v>4</v>
      </c>
      <c r="AU54" s="10">
        <v>0</v>
      </c>
      <c r="AV54" s="10">
        <v>0</v>
      </c>
      <c r="AW54" s="10">
        <v>0</v>
      </c>
      <c r="AX54" s="10">
        <v>2</v>
      </c>
      <c r="AY54" s="10">
        <v>0</v>
      </c>
      <c r="AZ54" s="10">
        <v>3</v>
      </c>
      <c r="BA54" s="10">
        <v>1</v>
      </c>
      <c r="BB54" s="10">
        <v>0</v>
      </c>
      <c r="BC54" s="10">
        <v>25</v>
      </c>
      <c r="BD54" s="10">
        <v>1</v>
      </c>
      <c r="BE54" s="10">
        <v>0</v>
      </c>
      <c r="BF54" s="10">
        <v>11</v>
      </c>
      <c r="BG54" s="10">
        <v>0</v>
      </c>
      <c r="BH54" s="10">
        <v>0</v>
      </c>
      <c r="BI54" s="10">
        <v>0</v>
      </c>
      <c r="BJ54" s="10">
        <v>2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2</v>
      </c>
      <c r="BQ54" s="10">
        <v>0</v>
      </c>
      <c r="BR54" s="10">
        <v>0</v>
      </c>
      <c r="BS54" s="10">
        <v>16</v>
      </c>
    </row>
    <row r="55" spans="1:71" x14ac:dyDescent="0.55000000000000004">
      <c r="A55" s="10">
        <v>170</v>
      </c>
      <c r="B55" s="10">
        <v>2022</v>
      </c>
      <c r="C55" s="10">
        <v>2822</v>
      </c>
      <c r="D55" s="10">
        <v>19844</v>
      </c>
      <c r="E55" s="10">
        <v>10059</v>
      </c>
      <c r="F55" s="10">
        <v>5339</v>
      </c>
      <c r="G55" s="10">
        <v>6143</v>
      </c>
      <c r="H55" s="10">
        <v>0</v>
      </c>
      <c r="I55" s="10">
        <v>3036</v>
      </c>
      <c r="J55" s="10">
        <v>0</v>
      </c>
      <c r="K55" s="10">
        <v>0</v>
      </c>
      <c r="L55" s="10">
        <v>0</v>
      </c>
      <c r="M55" s="10">
        <v>4469</v>
      </c>
      <c r="N55" s="10">
        <v>0</v>
      </c>
      <c r="O55" s="10">
        <v>629</v>
      </c>
      <c r="P55" s="10">
        <v>6930</v>
      </c>
      <c r="Q55" s="10">
        <v>2110</v>
      </c>
      <c r="R55" s="10">
        <v>1816</v>
      </c>
      <c r="S55" s="10">
        <v>41027</v>
      </c>
      <c r="T55" s="10">
        <v>22170</v>
      </c>
      <c r="U55" s="10">
        <v>17.413536498936924</v>
      </c>
      <c r="V55" s="10">
        <v>15.537794799435597</v>
      </c>
      <c r="W55" s="10">
        <v>39.924460431654673</v>
      </c>
      <c r="X55" s="10">
        <v>17.211949497962024</v>
      </c>
      <c r="Y55" s="10">
        <v>44.892676531185607</v>
      </c>
      <c r="Z55" s="10">
        <v>17.223832003906885</v>
      </c>
      <c r="AA55" s="10">
        <v>0</v>
      </c>
      <c r="AB55" s="10">
        <v>23.59288537549407</v>
      </c>
      <c r="AC55" s="10">
        <v>55.064102564102562</v>
      </c>
      <c r="AD55" s="10">
        <v>0</v>
      </c>
      <c r="AE55" s="10">
        <v>0</v>
      </c>
      <c r="AF55" s="10">
        <v>51.437010516894155</v>
      </c>
      <c r="AG55" s="10">
        <v>0</v>
      </c>
      <c r="AH55" s="10">
        <v>16.559618441971384</v>
      </c>
      <c r="AI55" s="10">
        <v>34.614574314574313</v>
      </c>
      <c r="AJ55" s="10">
        <v>74.220689655172421</v>
      </c>
      <c r="AK55" s="10">
        <v>41.272985781990521</v>
      </c>
      <c r="AL55" s="10">
        <v>19.884911894273127</v>
      </c>
      <c r="AM55" s="10">
        <v>0</v>
      </c>
      <c r="AN55" s="10">
        <v>1</v>
      </c>
      <c r="AO55" s="10">
        <v>2</v>
      </c>
      <c r="AP55" s="10">
        <v>6</v>
      </c>
      <c r="AQ55" s="10">
        <v>3</v>
      </c>
      <c r="AR55" s="10">
        <v>2</v>
      </c>
      <c r="AS55" s="10">
        <v>0</v>
      </c>
      <c r="AT55" s="10">
        <v>0</v>
      </c>
      <c r="AU55" s="10">
        <v>1</v>
      </c>
      <c r="AV55" s="10">
        <v>0</v>
      </c>
      <c r="AW55" s="10">
        <v>0</v>
      </c>
      <c r="AX55" s="10">
        <v>1</v>
      </c>
      <c r="AY55" s="10">
        <v>0</v>
      </c>
      <c r="AZ55" s="10">
        <v>2</v>
      </c>
      <c r="BA55" s="10">
        <v>1</v>
      </c>
      <c r="BB55" s="10">
        <v>1</v>
      </c>
      <c r="BC55" s="10">
        <v>20</v>
      </c>
      <c r="BD55" s="10">
        <v>1</v>
      </c>
      <c r="BE55" s="10">
        <v>0</v>
      </c>
      <c r="BF55" s="10">
        <v>3</v>
      </c>
      <c r="BG55" s="10">
        <v>3</v>
      </c>
      <c r="BH55" s="10">
        <v>1</v>
      </c>
      <c r="BI55" s="10">
        <v>0</v>
      </c>
      <c r="BJ55" s="10">
        <v>0</v>
      </c>
      <c r="BK55" s="10">
        <v>1</v>
      </c>
      <c r="BL55" s="10"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2</v>
      </c>
      <c r="BS55" s="10">
        <v>11</v>
      </c>
    </row>
    <row r="56" spans="1:71" x14ac:dyDescent="0.55000000000000004">
      <c r="A56" s="10">
        <v>692</v>
      </c>
      <c r="B56" s="10">
        <v>2022</v>
      </c>
      <c r="C56" s="10">
        <v>3345</v>
      </c>
      <c r="D56" s="10">
        <v>20055</v>
      </c>
      <c r="E56" s="10">
        <v>11527</v>
      </c>
      <c r="F56" s="10">
        <v>6562</v>
      </c>
      <c r="G56" s="10">
        <v>5188</v>
      </c>
      <c r="H56" s="10">
        <v>226</v>
      </c>
      <c r="I56" s="10">
        <v>6448</v>
      </c>
      <c r="J56" s="10">
        <v>138</v>
      </c>
      <c r="K56" s="10">
        <v>0</v>
      </c>
      <c r="L56" s="10">
        <v>2230</v>
      </c>
      <c r="M56" s="10">
        <v>5328</v>
      </c>
      <c r="N56" s="10">
        <v>1236</v>
      </c>
      <c r="O56" s="10">
        <v>3219</v>
      </c>
      <c r="P56" s="10">
        <v>16055</v>
      </c>
      <c r="Q56" s="10">
        <v>2335</v>
      </c>
      <c r="R56" s="10">
        <v>0</v>
      </c>
      <c r="S56" s="10">
        <v>57170</v>
      </c>
      <c r="T56" s="10">
        <v>26722</v>
      </c>
      <c r="U56" s="10">
        <v>23.693871449925261</v>
      </c>
      <c r="V56" s="10">
        <v>19.902767389678385</v>
      </c>
      <c r="W56" s="10">
        <v>31.404371584699454</v>
      </c>
      <c r="X56" s="10">
        <v>18.755530493623667</v>
      </c>
      <c r="Y56" s="10">
        <v>30.323072234074978</v>
      </c>
      <c r="Z56" s="10">
        <v>16.509252120277562</v>
      </c>
      <c r="AA56" s="10">
        <v>26.23008849557522</v>
      </c>
      <c r="AB56" s="10">
        <v>27.991315136476427</v>
      </c>
      <c r="AC56" s="10">
        <v>66.57780195865071</v>
      </c>
      <c r="AD56" s="10">
        <v>0</v>
      </c>
      <c r="AE56" s="10">
        <v>20.116591928251118</v>
      </c>
      <c r="AF56" s="10">
        <v>40.450825825825824</v>
      </c>
      <c r="AG56" s="10">
        <v>24.93284789644013</v>
      </c>
      <c r="AH56" s="10">
        <v>26.545200372786578</v>
      </c>
      <c r="AI56" s="10">
        <v>35.111491747119281</v>
      </c>
      <c r="AJ56" s="10">
        <v>0</v>
      </c>
      <c r="AK56" s="10">
        <v>26.719057815845822</v>
      </c>
      <c r="AL56" s="10">
        <v>0</v>
      </c>
      <c r="AM56" s="10">
        <v>0</v>
      </c>
      <c r="AN56" s="10">
        <v>2</v>
      </c>
      <c r="AO56" s="10">
        <v>3</v>
      </c>
      <c r="AP56" s="10">
        <v>4</v>
      </c>
      <c r="AQ56" s="10">
        <v>4</v>
      </c>
      <c r="AR56" s="10">
        <v>1</v>
      </c>
      <c r="AS56" s="10">
        <v>0</v>
      </c>
      <c r="AT56" s="10">
        <v>2</v>
      </c>
      <c r="AU56" s="10">
        <v>2</v>
      </c>
      <c r="AV56" s="10">
        <v>0</v>
      </c>
      <c r="AW56" s="10">
        <v>1</v>
      </c>
      <c r="AX56" s="10">
        <v>3</v>
      </c>
      <c r="AY56" s="10">
        <v>0</v>
      </c>
      <c r="AZ56" s="10">
        <v>5</v>
      </c>
      <c r="BA56" s="10">
        <v>2</v>
      </c>
      <c r="BB56" s="10">
        <v>0</v>
      </c>
      <c r="BC56" s="10">
        <v>29</v>
      </c>
      <c r="BD56" s="10">
        <v>0</v>
      </c>
      <c r="BE56" s="10">
        <v>0</v>
      </c>
      <c r="BF56" s="10">
        <v>2</v>
      </c>
      <c r="BG56" s="10">
        <v>2</v>
      </c>
      <c r="BH56" s="10">
        <v>2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1</v>
      </c>
      <c r="BP56" s="10">
        <v>1</v>
      </c>
      <c r="BQ56" s="10">
        <v>0</v>
      </c>
      <c r="BR56" s="10">
        <v>0</v>
      </c>
      <c r="BS56" s="10">
        <v>8</v>
      </c>
    </row>
    <row r="57" spans="1:71" x14ac:dyDescent="0.55000000000000004">
      <c r="A57" s="10">
        <v>803</v>
      </c>
      <c r="B57" s="10">
        <v>2022</v>
      </c>
      <c r="C57" s="10">
        <v>2522</v>
      </c>
      <c r="D57" s="10">
        <v>20165</v>
      </c>
      <c r="E57" s="10">
        <v>13900</v>
      </c>
      <c r="F57" s="10">
        <v>4482</v>
      </c>
      <c r="G57" s="10">
        <v>5833</v>
      </c>
      <c r="H57" s="10">
        <v>2138</v>
      </c>
      <c r="I57" s="10">
        <v>4893</v>
      </c>
      <c r="J57" s="10">
        <v>312</v>
      </c>
      <c r="K57" s="10">
        <v>0</v>
      </c>
      <c r="L57" s="10">
        <v>3335</v>
      </c>
      <c r="M57" s="10">
        <v>9696</v>
      </c>
      <c r="N57" s="10">
        <v>0</v>
      </c>
      <c r="O57" s="10">
        <v>1866</v>
      </c>
      <c r="P57" s="10">
        <v>8169</v>
      </c>
      <c r="Q57" s="10">
        <v>2901</v>
      </c>
      <c r="R57" s="10">
        <v>178</v>
      </c>
      <c r="S57" s="10">
        <v>52171</v>
      </c>
      <c r="T57" s="10">
        <v>28219</v>
      </c>
      <c r="U57" s="10">
        <v>22.845360824742269</v>
      </c>
      <c r="V57" s="10">
        <v>19.749417307215474</v>
      </c>
      <c r="W57" s="10">
        <v>33.225339513702529</v>
      </c>
      <c r="X57" s="10">
        <v>18.010000000000002</v>
      </c>
      <c r="Y57" s="10">
        <v>57.467425256581883</v>
      </c>
      <c r="Z57" s="10">
        <v>15.727584433396194</v>
      </c>
      <c r="AA57" s="10">
        <v>16.644995322731525</v>
      </c>
      <c r="AB57" s="10">
        <v>30.523605150214589</v>
      </c>
      <c r="AC57" s="10">
        <v>49.889862327909881</v>
      </c>
      <c r="AD57" s="10">
        <v>0</v>
      </c>
      <c r="AE57" s="10">
        <v>35.441379310344828</v>
      </c>
      <c r="AF57" s="10">
        <v>32.02867161716172</v>
      </c>
      <c r="AG57" s="10">
        <v>0</v>
      </c>
      <c r="AH57" s="10">
        <v>21.957663451232584</v>
      </c>
      <c r="AI57" s="10">
        <v>37.26245562492349</v>
      </c>
      <c r="AJ57" s="10">
        <v>61.425888561229243</v>
      </c>
      <c r="AK57" s="10">
        <v>25.216821785591172</v>
      </c>
      <c r="AL57" s="10">
        <v>16.443820224719101</v>
      </c>
      <c r="AM57" s="10">
        <v>0</v>
      </c>
      <c r="AN57" s="10">
        <v>1</v>
      </c>
      <c r="AO57" s="10">
        <v>4</v>
      </c>
      <c r="AP57" s="10">
        <v>6</v>
      </c>
      <c r="AQ57" s="10">
        <v>4</v>
      </c>
      <c r="AR57" s="10">
        <v>3</v>
      </c>
      <c r="AS57" s="10">
        <v>1</v>
      </c>
      <c r="AT57" s="10">
        <v>2</v>
      </c>
      <c r="AU57" s="10">
        <v>1</v>
      </c>
      <c r="AV57" s="10">
        <v>0</v>
      </c>
      <c r="AW57" s="10">
        <v>1</v>
      </c>
      <c r="AX57" s="10">
        <v>3</v>
      </c>
      <c r="AY57" s="10">
        <v>0</v>
      </c>
      <c r="AZ57" s="10">
        <v>4</v>
      </c>
      <c r="BA57" s="10">
        <v>1</v>
      </c>
      <c r="BB57" s="10">
        <v>0</v>
      </c>
      <c r="BC57" s="10">
        <v>31</v>
      </c>
      <c r="BD57" s="10">
        <v>1</v>
      </c>
      <c r="BE57" s="10">
        <v>3</v>
      </c>
      <c r="BF57" s="10">
        <v>9</v>
      </c>
      <c r="BG57" s="10">
        <v>3</v>
      </c>
      <c r="BH57" s="10">
        <v>1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2</v>
      </c>
      <c r="BQ57" s="10">
        <v>0</v>
      </c>
      <c r="BR57" s="10">
        <v>0</v>
      </c>
      <c r="BS57" s="10">
        <v>19</v>
      </c>
    </row>
    <row r="58" spans="1:71" x14ac:dyDescent="0.55000000000000004">
      <c r="A58" s="10">
        <v>748</v>
      </c>
      <c r="B58" s="10">
        <v>2022</v>
      </c>
      <c r="C58" s="10">
        <v>3164</v>
      </c>
      <c r="D58" s="10">
        <v>20499</v>
      </c>
      <c r="E58" s="10">
        <v>10107</v>
      </c>
      <c r="F58" s="10">
        <v>3902</v>
      </c>
      <c r="G58" s="10">
        <v>1234</v>
      </c>
      <c r="H58" s="10">
        <v>1609</v>
      </c>
      <c r="I58" s="10">
        <v>3341</v>
      </c>
      <c r="J58" s="10">
        <v>1579</v>
      </c>
      <c r="K58" s="10">
        <v>0</v>
      </c>
      <c r="L58" s="10">
        <v>767</v>
      </c>
      <c r="M58" s="10">
        <v>3768</v>
      </c>
      <c r="N58" s="10">
        <v>0</v>
      </c>
      <c r="O58" s="10">
        <v>4374</v>
      </c>
      <c r="P58" s="10">
        <v>6472</v>
      </c>
      <c r="Q58" s="10">
        <v>0</v>
      </c>
      <c r="R58" s="10">
        <v>4512</v>
      </c>
      <c r="S58" s="10">
        <v>44102</v>
      </c>
      <c r="T58" s="10">
        <v>21226</v>
      </c>
      <c r="U58" s="10">
        <v>18.515170670037925</v>
      </c>
      <c r="V58" s="10">
        <v>18.45777842821601</v>
      </c>
      <c r="W58" s="10">
        <v>53.541697971450041</v>
      </c>
      <c r="X58" s="10">
        <v>10.857425546650836</v>
      </c>
      <c r="Y58" s="10">
        <v>32.460789338800616</v>
      </c>
      <c r="Z58" s="10">
        <v>24.910858995137765</v>
      </c>
      <c r="AA58" s="10">
        <v>11.550652579241765</v>
      </c>
      <c r="AB58" s="10">
        <v>24.516013169709669</v>
      </c>
      <c r="AC58" s="10">
        <v>0</v>
      </c>
      <c r="AD58" s="10">
        <v>0</v>
      </c>
      <c r="AE58" s="10">
        <v>18.704041720990872</v>
      </c>
      <c r="AF58" s="10">
        <v>38.736995753715497</v>
      </c>
      <c r="AG58" s="10">
        <v>0</v>
      </c>
      <c r="AH58" s="10">
        <v>19.703246456332877</v>
      </c>
      <c r="AI58" s="10">
        <v>35.304851668726819</v>
      </c>
      <c r="AJ58" s="10">
        <v>58.127725856697815</v>
      </c>
      <c r="AK58" s="10">
        <v>0</v>
      </c>
      <c r="AL58" s="10">
        <v>20.471852836879435</v>
      </c>
      <c r="AM58" s="10">
        <v>0</v>
      </c>
      <c r="AN58" s="10">
        <v>2</v>
      </c>
      <c r="AO58" s="10">
        <v>2</v>
      </c>
      <c r="AP58" s="10">
        <v>5</v>
      </c>
      <c r="AQ58" s="10">
        <v>6</v>
      </c>
      <c r="AR58" s="10">
        <v>1</v>
      </c>
      <c r="AS58" s="10">
        <v>0</v>
      </c>
      <c r="AT58" s="10">
        <v>1</v>
      </c>
      <c r="AU58" s="10">
        <v>2</v>
      </c>
      <c r="AV58" s="10">
        <v>0</v>
      </c>
      <c r="AW58" s="10">
        <v>0</v>
      </c>
      <c r="AX58" s="10">
        <v>1</v>
      </c>
      <c r="AY58" s="10">
        <v>0</v>
      </c>
      <c r="AZ58" s="10">
        <v>2</v>
      </c>
      <c r="BA58" s="10">
        <v>0</v>
      </c>
      <c r="BB58" s="10">
        <v>1</v>
      </c>
      <c r="BC58" s="10">
        <v>23</v>
      </c>
      <c r="BD58" s="10">
        <v>0</v>
      </c>
      <c r="BE58" s="10">
        <v>0</v>
      </c>
      <c r="BF58" s="10">
        <v>6</v>
      </c>
      <c r="BG58" s="10">
        <v>2</v>
      </c>
      <c r="BH58" s="10">
        <v>0</v>
      </c>
      <c r="BI58" s="10">
        <v>1</v>
      </c>
      <c r="BJ58" s="10">
        <v>0</v>
      </c>
      <c r="BK58" s="10">
        <v>0</v>
      </c>
      <c r="BL58" s="10">
        <v>0</v>
      </c>
      <c r="BM58" s="10">
        <v>1</v>
      </c>
      <c r="BN58" s="10">
        <v>0</v>
      </c>
      <c r="BO58" s="10">
        <v>0</v>
      </c>
      <c r="BP58" s="10">
        <v>1</v>
      </c>
      <c r="BQ58" s="10">
        <v>0</v>
      </c>
      <c r="BR58" s="10">
        <v>1</v>
      </c>
      <c r="BS58" s="10">
        <v>12</v>
      </c>
    </row>
    <row r="59" spans="1:71" x14ac:dyDescent="0.55000000000000004">
      <c r="A59" s="10">
        <v>873</v>
      </c>
      <c r="B59" s="10">
        <v>2022</v>
      </c>
      <c r="C59" s="10">
        <v>2238</v>
      </c>
      <c r="D59" s="10">
        <v>20547</v>
      </c>
      <c r="E59" s="10">
        <v>14164</v>
      </c>
      <c r="F59" s="10">
        <v>4822</v>
      </c>
      <c r="G59" s="10">
        <v>0</v>
      </c>
      <c r="H59" s="10">
        <v>0</v>
      </c>
      <c r="I59" s="10">
        <v>7322</v>
      </c>
      <c r="J59" s="10">
        <v>0</v>
      </c>
      <c r="K59" s="10">
        <v>0</v>
      </c>
      <c r="L59" s="10">
        <v>1579</v>
      </c>
      <c r="M59" s="10">
        <v>5613</v>
      </c>
      <c r="N59" s="10">
        <v>0</v>
      </c>
      <c r="O59" s="10">
        <v>1482</v>
      </c>
      <c r="P59" s="10">
        <v>9047</v>
      </c>
      <c r="Q59" s="10">
        <v>982</v>
      </c>
      <c r="R59" s="10">
        <v>6175</v>
      </c>
      <c r="S59" s="10">
        <v>53503</v>
      </c>
      <c r="T59" s="10">
        <v>20468</v>
      </c>
      <c r="U59" s="10">
        <v>18.723860589812332</v>
      </c>
      <c r="V59" s="10">
        <v>23.778994500413685</v>
      </c>
      <c r="W59" s="10">
        <v>33.76</v>
      </c>
      <c r="X59" s="10">
        <v>22.646568765885341</v>
      </c>
      <c r="Y59" s="10">
        <v>28.170261302364164</v>
      </c>
      <c r="Z59" s="10">
        <v>0</v>
      </c>
      <c r="AA59" s="10">
        <v>0</v>
      </c>
      <c r="AB59" s="10">
        <v>32.014203769461894</v>
      </c>
      <c r="AC59" s="10">
        <v>50.650793650793645</v>
      </c>
      <c r="AD59" s="10">
        <v>0</v>
      </c>
      <c r="AE59" s="10">
        <v>22.003799873337556</v>
      </c>
      <c r="AF59" s="10">
        <v>40.531623017993944</v>
      </c>
      <c r="AG59" s="10">
        <v>0</v>
      </c>
      <c r="AH59" s="10">
        <v>26.693657219973009</v>
      </c>
      <c r="AI59" s="10">
        <v>42.966066099259422</v>
      </c>
      <c r="AJ59" s="10">
        <v>62.208737864077669</v>
      </c>
      <c r="AK59" s="10">
        <v>26.314663951120163</v>
      </c>
      <c r="AL59" s="10">
        <v>19.928259109311742</v>
      </c>
      <c r="AM59" s="10">
        <v>0</v>
      </c>
      <c r="AN59" s="10">
        <v>0</v>
      </c>
      <c r="AO59" s="10">
        <v>0</v>
      </c>
      <c r="AP59" s="10">
        <v>8</v>
      </c>
      <c r="AQ59" s="10">
        <v>5</v>
      </c>
      <c r="AR59" s="10">
        <v>0</v>
      </c>
      <c r="AS59" s="10">
        <v>0</v>
      </c>
      <c r="AT59" s="10">
        <v>2</v>
      </c>
      <c r="AU59" s="10">
        <v>0</v>
      </c>
      <c r="AV59" s="10">
        <v>0</v>
      </c>
      <c r="AW59" s="10">
        <v>1</v>
      </c>
      <c r="AX59" s="10">
        <v>3</v>
      </c>
      <c r="AY59" s="10">
        <v>0</v>
      </c>
      <c r="AZ59" s="10">
        <v>3</v>
      </c>
      <c r="BA59" s="10">
        <v>1</v>
      </c>
      <c r="BB59" s="10">
        <v>1</v>
      </c>
      <c r="BC59" s="10">
        <v>24</v>
      </c>
      <c r="BD59" s="10">
        <v>1</v>
      </c>
      <c r="BE59" s="10">
        <v>0</v>
      </c>
      <c r="BF59" s="10">
        <v>0</v>
      </c>
      <c r="BG59" s="10">
        <v>4</v>
      </c>
      <c r="BH59" s="10">
        <v>0</v>
      </c>
      <c r="BI59" s="10">
        <v>0</v>
      </c>
      <c r="BJ59" s="10">
        <v>1</v>
      </c>
      <c r="BK59" s="10">
        <v>0</v>
      </c>
      <c r="BL59" s="10"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1</v>
      </c>
      <c r="BS59" s="10">
        <v>7</v>
      </c>
    </row>
    <row r="60" spans="1:71" x14ac:dyDescent="0.55000000000000004">
      <c r="A60" s="10">
        <v>738</v>
      </c>
      <c r="B60" s="10">
        <v>2022</v>
      </c>
      <c r="C60" s="10">
        <v>3729</v>
      </c>
      <c r="D60" s="10">
        <v>20559</v>
      </c>
      <c r="E60" s="10">
        <v>11231</v>
      </c>
      <c r="F60" s="10">
        <v>2013</v>
      </c>
      <c r="G60" s="10">
        <v>3407</v>
      </c>
      <c r="H60" s="10">
        <v>482</v>
      </c>
      <c r="I60" s="10">
        <v>8697</v>
      </c>
      <c r="J60" s="10">
        <v>0</v>
      </c>
      <c r="K60" s="10">
        <v>0</v>
      </c>
      <c r="L60" s="10">
        <v>0</v>
      </c>
      <c r="M60" s="10">
        <v>4821</v>
      </c>
      <c r="N60" s="10">
        <v>0</v>
      </c>
      <c r="O60" s="10">
        <v>2292</v>
      </c>
      <c r="P60" s="10">
        <v>6472</v>
      </c>
      <c r="Q60" s="10">
        <v>62</v>
      </c>
      <c r="R60" s="10">
        <v>3393</v>
      </c>
      <c r="S60" s="10">
        <v>47733</v>
      </c>
      <c r="T60" s="10">
        <v>19425</v>
      </c>
      <c r="U60" s="10">
        <v>18.878251541968353</v>
      </c>
      <c r="V60" s="10">
        <v>26.182547789289362</v>
      </c>
      <c r="W60" s="10">
        <v>31.903133903133902</v>
      </c>
      <c r="X60" s="10">
        <v>15.178701807497106</v>
      </c>
      <c r="Y60" s="10">
        <v>48.092896174863384</v>
      </c>
      <c r="Z60" s="10">
        <v>21.826240093924277</v>
      </c>
      <c r="AA60" s="10">
        <v>14.004149377593361</v>
      </c>
      <c r="AB60" s="10">
        <v>26.918362653788662</v>
      </c>
      <c r="AC60" s="10">
        <v>51.56</v>
      </c>
      <c r="AD60" s="10">
        <v>0</v>
      </c>
      <c r="AE60" s="10">
        <v>0</v>
      </c>
      <c r="AF60" s="10">
        <v>40.678904791537029</v>
      </c>
      <c r="AG60" s="10">
        <v>0</v>
      </c>
      <c r="AH60" s="10">
        <v>22.26352530541012</v>
      </c>
      <c r="AI60" s="10">
        <v>39.971415327564898</v>
      </c>
      <c r="AJ60" s="10">
        <v>0</v>
      </c>
      <c r="AK60" s="10">
        <v>20</v>
      </c>
      <c r="AL60" s="10">
        <v>19.637783672266433</v>
      </c>
      <c r="AM60" s="10">
        <v>0</v>
      </c>
      <c r="AN60" s="10">
        <v>2</v>
      </c>
      <c r="AO60" s="10">
        <v>0</v>
      </c>
      <c r="AP60" s="10">
        <v>9</v>
      </c>
      <c r="AQ60" s="10">
        <v>6</v>
      </c>
      <c r="AR60" s="10">
        <v>2</v>
      </c>
      <c r="AS60" s="10">
        <v>1</v>
      </c>
      <c r="AT60" s="10">
        <v>3</v>
      </c>
      <c r="AU60" s="10">
        <v>1</v>
      </c>
      <c r="AV60" s="10">
        <v>0</v>
      </c>
      <c r="AW60" s="10">
        <v>0</v>
      </c>
      <c r="AX60" s="10">
        <v>2</v>
      </c>
      <c r="AY60" s="10">
        <v>0</v>
      </c>
      <c r="AZ60" s="10">
        <v>2</v>
      </c>
      <c r="BA60" s="10">
        <v>0</v>
      </c>
      <c r="BB60" s="10">
        <v>1</v>
      </c>
      <c r="BC60" s="10">
        <v>29</v>
      </c>
      <c r="BD60" s="10">
        <v>0</v>
      </c>
      <c r="BE60" s="10">
        <v>2</v>
      </c>
      <c r="BF60" s="10">
        <v>5</v>
      </c>
      <c r="BG60" s="10">
        <v>7</v>
      </c>
      <c r="BH60" s="10">
        <v>0</v>
      </c>
      <c r="BI60" s="10">
        <v>0</v>
      </c>
      <c r="BJ60" s="10">
        <v>4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5</v>
      </c>
      <c r="BQ60" s="10">
        <v>0</v>
      </c>
      <c r="BR60" s="10">
        <v>0</v>
      </c>
      <c r="BS60" s="10">
        <v>23</v>
      </c>
    </row>
    <row r="61" spans="1:71" x14ac:dyDescent="0.55000000000000004">
      <c r="A61" s="10">
        <v>892</v>
      </c>
      <c r="B61" s="10">
        <v>2022</v>
      </c>
      <c r="C61" s="10">
        <v>3755</v>
      </c>
      <c r="D61" s="10">
        <v>20665</v>
      </c>
      <c r="E61" s="10">
        <v>7872</v>
      </c>
      <c r="F61" s="10">
        <v>3193</v>
      </c>
      <c r="G61" s="10">
        <v>0</v>
      </c>
      <c r="H61" s="10">
        <v>0</v>
      </c>
      <c r="I61" s="10">
        <v>7199</v>
      </c>
      <c r="J61" s="10">
        <v>0</v>
      </c>
      <c r="K61" s="10">
        <v>0</v>
      </c>
      <c r="L61" s="10">
        <v>2108</v>
      </c>
      <c r="M61" s="10">
        <v>3374</v>
      </c>
      <c r="N61" s="10">
        <v>0</v>
      </c>
      <c r="O61" s="10">
        <v>1795</v>
      </c>
      <c r="P61" s="10">
        <v>1101</v>
      </c>
      <c r="Q61" s="10">
        <v>921</v>
      </c>
      <c r="R61" s="10">
        <v>2499</v>
      </c>
      <c r="S61" s="10">
        <v>41622</v>
      </c>
      <c r="T61" s="10">
        <v>12860</v>
      </c>
      <c r="U61" s="10">
        <v>21.313448735019971</v>
      </c>
      <c r="V61" s="10">
        <v>22.524074522138879</v>
      </c>
      <c r="W61" s="10">
        <v>34.968208092485547</v>
      </c>
      <c r="X61" s="10">
        <v>16.934959349593495</v>
      </c>
      <c r="Y61" s="10">
        <v>35.199185718759786</v>
      </c>
      <c r="Z61" s="10">
        <v>0</v>
      </c>
      <c r="AA61" s="10">
        <v>0</v>
      </c>
      <c r="AB61" s="10">
        <v>43.696346714821502</v>
      </c>
      <c r="AC61" s="10">
        <v>51.604166666666671</v>
      </c>
      <c r="AD61" s="10">
        <v>0</v>
      </c>
      <c r="AE61" s="10">
        <v>19.950189753320682</v>
      </c>
      <c r="AF61" s="10">
        <v>43.126556016597512</v>
      </c>
      <c r="AG61" s="10">
        <v>0</v>
      </c>
      <c r="AH61" s="10">
        <v>25.25292479108635</v>
      </c>
      <c r="AI61" s="10">
        <v>47.316984559491374</v>
      </c>
      <c r="AJ61" s="10">
        <v>78.614077669902912</v>
      </c>
      <c r="AK61" s="10">
        <v>27.724212812160694</v>
      </c>
      <c r="AL61" s="10">
        <v>27.906762705082031</v>
      </c>
      <c r="AM61" s="10">
        <v>57.733333333333334</v>
      </c>
      <c r="AN61" s="10">
        <v>2</v>
      </c>
      <c r="AO61" s="10">
        <v>2</v>
      </c>
      <c r="AP61" s="10">
        <v>6</v>
      </c>
      <c r="AQ61" s="10">
        <v>3</v>
      </c>
      <c r="AR61" s="10">
        <v>0</v>
      </c>
      <c r="AS61" s="10">
        <v>0</v>
      </c>
      <c r="AT61" s="10">
        <v>1</v>
      </c>
      <c r="AU61" s="10">
        <v>1</v>
      </c>
      <c r="AV61" s="10">
        <v>0</v>
      </c>
      <c r="AW61" s="10">
        <v>1</v>
      </c>
      <c r="AX61" s="10">
        <v>2</v>
      </c>
      <c r="AY61" s="10">
        <v>0</v>
      </c>
      <c r="AZ61" s="10">
        <v>0</v>
      </c>
      <c r="BA61" s="10">
        <v>0</v>
      </c>
      <c r="BB61" s="10">
        <v>0</v>
      </c>
      <c r="BC61" s="10">
        <v>18</v>
      </c>
      <c r="BD61" s="10">
        <v>0</v>
      </c>
      <c r="BE61" s="10">
        <v>0</v>
      </c>
      <c r="BF61" s="10">
        <v>2</v>
      </c>
      <c r="BG61" s="10">
        <v>2</v>
      </c>
      <c r="BH61" s="10">
        <v>0</v>
      </c>
      <c r="BI61" s="10">
        <v>0</v>
      </c>
      <c r="BJ61" s="10">
        <v>0</v>
      </c>
      <c r="BK61" s="10">
        <v>1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5</v>
      </c>
    </row>
    <row r="62" spans="1:71" x14ac:dyDescent="0.55000000000000004">
      <c r="A62" s="10">
        <v>235</v>
      </c>
      <c r="B62" s="10">
        <v>2022</v>
      </c>
      <c r="C62" s="10">
        <v>6118</v>
      </c>
      <c r="D62" s="10">
        <v>21035</v>
      </c>
      <c r="E62" s="10">
        <v>18040</v>
      </c>
      <c r="F62" s="10">
        <v>5609</v>
      </c>
      <c r="G62" s="10">
        <v>4860</v>
      </c>
      <c r="H62" s="10">
        <v>3358</v>
      </c>
      <c r="I62" s="10">
        <v>6400</v>
      </c>
      <c r="J62" s="10">
        <v>0</v>
      </c>
      <c r="K62" s="10">
        <v>0</v>
      </c>
      <c r="L62" s="10">
        <v>1403</v>
      </c>
      <c r="M62" s="10">
        <v>7434</v>
      </c>
      <c r="N62" s="10">
        <v>616</v>
      </c>
      <c r="O62" s="10">
        <v>2469</v>
      </c>
      <c r="P62" s="10">
        <v>19495</v>
      </c>
      <c r="Q62" s="10">
        <v>707</v>
      </c>
      <c r="R62" s="10">
        <v>4030</v>
      </c>
      <c r="S62" s="10">
        <v>67238</v>
      </c>
      <c r="T62" s="10">
        <v>34336</v>
      </c>
      <c r="U62" s="10">
        <v>18.450474011114743</v>
      </c>
      <c r="V62" s="10">
        <v>17.905585928214879</v>
      </c>
      <c r="W62" s="10">
        <v>26.656222023276634</v>
      </c>
      <c r="X62" s="10">
        <v>14.195565410199556</v>
      </c>
      <c r="Y62" s="10">
        <v>31.50472454983063</v>
      </c>
      <c r="Z62" s="10">
        <v>16.638065843621398</v>
      </c>
      <c r="AA62" s="10">
        <v>16.561941631923762</v>
      </c>
      <c r="AB62" s="10">
        <v>25.76</v>
      </c>
      <c r="AC62" s="10">
        <v>49.391513982642238</v>
      </c>
      <c r="AD62" s="10">
        <v>0</v>
      </c>
      <c r="AE62" s="10">
        <v>23.386315039201712</v>
      </c>
      <c r="AF62" s="10">
        <v>33.702851762173793</v>
      </c>
      <c r="AG62" s="10">
        <v>16.485389610389607</v>
      </c>
      <c r="AH62" s="10">
        <v>20.784528149048199</v>
      </c>
      <c r="AI62" s="10">
        <v>9.2949474224160049</v>
      </c>
      <c r="AJ62" s="10">
        <v>0</v>
      </c>
      <c r="AK62" s="10">
        <v>25.323903818953323</v>
      </c>
      <c r="AL62" s="10">
        <v>20.945657568238214</v>
      </c>
      <c r="AM62" s="10">
        <v>0</v>
      </c>
      <c r="AN62" s="10">
        <v>2</v>
      </c>
      <c r="AO62" s="10">
        <v>3</v>
      </c>
      <c r="AP62" s="10">
        <v>9</v>
      </c>
      <c r="AQ62" s="10">
        <v>5</v>
      </c>
      <c r="AR62" s="10">
        <v>1</v>
      </c>
      <c r="AS62" s="10">
        <v>0</v>
      </c>
      <c r="AT62" s="10">
        <v>2</v>
      </c>
      <c r="AU62" s="10">
        <v>1</v>
      </c>
      <c r="AV62" s="10">
        <v>0</v>
      </c>
      <c r="AW62" s="10">
        <v>1</v>
      </c>
      <c r="AX62" s="10">
        <v>3</v>
      </c>
      <c r="AY62" s="10">
        <v>0</v>
      </c>
      <c r="AZ62" s="10">
        <v>4</v>
      </c>
      <c r="BA62" s="10">
        <v>1</v>
      </c>
      <c r="BB62" s="10">
        <v>4</v>
      </c>
      <c r="BC62" s="10">
        <v>36</v>
      </c>
      <c r="BD62" s="10">
        <v>1</v>
      </c>
      <c r="BE62" s="10">
        <v>1</v>
      </c>
      <c r="BF62" s="10">
        <v>14</v>
      </c>
      <c r="BG62" s="10">
        <v>12</v>
      </c>
      <c r="BH62" s="10">
        <v>4</v>
      </c>
      <c r="BI62" s="10">
        <v>4</v>
      </c>
      <c r="BJ62" s="10">
        <v>3</v>
      </c>
      <c r="BK62" s="10">
        <v>1</v>
      </c>
      <c r="BL62" s="10">
        <v>0</v>
      </c>
      <c r="BM62" s="10">
        <v>0</v>
      </c>
      <c r="BN62" s="10">
        <v>0</v>
      </c>
      <c r="BO62" s="10">
        <v>1</v>
      </c>
      <c r="BP62" s="10">
        <v>3</v>
      </c>
      <c r="BQ62" s="10">
        <v>0</v>
      </c>
      <c r="BR62" s="10">
        <v>2</v>
      </c>
      <c r="BS62" s="10">
        <v>46</v>
      </c>
    </row>
    <row r="63" spans="1:71" x14ac:dyDescent="0.55000000000000004">
      <c r="A63" s="10">
        <v>234</v>
      </c>
      <c r="B63" s="10">
        <v>2022</v>
      </c>
      <c r="C63" s="10">
        <v>4831</v>
      </c>
      <c r="D63" s="10">
        <v>21320</v>
      </c>
      <c r="E63" s="10">
        <v>20951</v>
      </c>
      <c r="F63" s="10">
        <v>6561</v>
      </c>
      <c r="G63" s="10">
        <v>15707</v>
      </c>
      <c r="H63" s="10">
        <v>0</v>
      </c>
      <c r="I63" s="10">
        <v>8640</v>
      </c>
      <c r="J63" s="10">
        <v>0</v>
      </c>
      <c r="K63" s="10">
        <v>0</v>
      </c>
      <c r="L63" s="10">
        <v>4356</v>
      </c>
      <c r="M63" s="10">
        <v>5709</v>
      </c>
      <c r="N63" s="10">
        <v>1805</v>
      </c>
      <c r="O63" s="10">
        <v>5680</v>
      </c>
      <c r="P63" s="10">
        <v>9547</v>
      </c>
      <c r="Q63" s="10">
        <v>3686</v>
      </c>
      <c r="R63" s="10">
        <v>25380</v>
      </c>
      <c r="S63" s="10">
        <v>85274</v>
      </c>
      <c r="T63" s="10">
        <v>48899</v>
      </c>
      <c r="U63" s="10">
        <v>22.033740426412749</v>
      </c>
      <c r="V63" s="10">
        <v>19.365290806754221</v>
      </c>
      <c r="W63" s="10">
        <v>33.561983471074377</v>
      </c>
      <c r="X63" s="10">
        <v>18.951887738055461</v>
      </c>
      <c r="Y63" s="10">
        <v>40.925468678555099</v>
      </c>
      <c r="Z63" s="10">
        <v>16.728974342649774</v>
      </c>
      <c r="AA63" s="10">
        <v>0</v>
      </c>
      <c r="AB63" s="10">
        <v>33.492361111111109</v>
      </c>
      <c r="AC63" s="10">
        <v>51.557702926559912</v>
      </c>
      <c r="AD63" s="10">
        <v>0</v>
      </c>
      <c r="AE63" s="10">
        <v>24.078971533516984</v>
      </c>
      <c r="AF63" s="10">
        <v>47.546855841653532</v>
      </c>
      <c r="AG63" s="10">
        <v>34.19612188365651</v>
      </c>
      <c r="AH63" s="10">
        <v>25.936091549295774</v>
      </c>
      <c r="AI63" s="10">
        <v>41.621137530114169</v>
      </c>
      <c r="AJ63" s="10">
        <v>61.055151515151508</v>
      </c>
      <c r="AK63" s="10">
        <v>33.919696147585455</v>
      </c>
      <c r="AL63" s="10">
        <v>24.920646178092987</v>
      </c>
      <c r="AM63" s="10">
        <v>36.660265878877404</v>
      </c>
      <c r="AN63" s="10">
        <v>2</v>
      </c>
      <c r="AO63" s="10">
        <v>5</v>
      </c>
      <c r="AP63" s="10">
        <v>4</v>
      </c>
      <c r="AQ63" s="10">
        <v>9</v>
      </c>
      <c r="AR63" s="10">
        <v>9</v>
      </c>
      <c r="AS63" s="10">
        <v>0</v>
      </c>
      <c r="AT63" s="10">
        <v>3</v>
      </c>
      <c r="AU63" s="10">
        <v>3</v>
      </c>
      <c r="AV63" s="10">
        <v>0</v>
      </c>
      <c r="AW63" s="10">
        <v>2</v>
      </c>
      <c r="AX63" s="10">
        <v>4</v>
      </c>
      <c r="AY63" s="10">
        <v>0</v>
      </c>
      <c r="AZ63" s="10">
        <v>3</v>
      </c>
      <c r="BA63" s="10">
        <v>3</v>
      </c>
      <c r="BB63" s="10">
        <v>9</v>
      </c>
      <c r="BC63" s="10">
        <v>56</v>
      </c>
      <c r="BD63" s="10">
        <v>1</v>
      </c>
      <c r="BE63" s="10">
        <v>0</v>
      </c>
      <c r="BF63" s="10">
        <v>4</v>
      </c>
      <c r="BG63" s="10">
        <v>8</v>
      </c>
      <c r="BH63" s="10">
        <v>1</v>
      </c>
      <c r="BI63" s="10">
        <v>0</v>
      </c>
      <c r="BJ63" s="10">
        <v>6</v>
      </c>
      <c r="BK63" s="10">
        <v>0</v>
      </c>
      <c r="BL63" s="10">
        <v>0</v>
      </c>
      <c r="BM63" s="10">
        <v>0</v>
      </c>
      <c r="BN63" s="10">
        <v>0</v>
      </c>
      <c r="BO63" s="10">
        <v>0</v>
      </c>
      <c r="BP63" s="10">
        <v>2</v>
      </c>
      <c r="BQ63" s="10">
        <v>1</v>
      </c>
      <c r="BR63" s="10">
        <v>2</v>
      </c>
      <c r="BS63" s="10">
        <v>25</v>
      </c>
    </row>
    <row r="64" spans="1:71" x14ac:dyDescent="0.55000000000000004">
      <c r="A64" s="10">
        <v>242</v>
      </c>
      <c r="B64" s="10">
        <v>2022</v>
      </c>
      <c r="C64" s="10">
        <v>1874</v>
      </c>
      <c r="D64" s="10">
        <v>21355</v>
      </c>
      <c r="E64" s="10">
        <v>10487</v>
      </c>
      <c r="F64" s="10">
        <v>4203</v>
      </c>
      <c r="G64" s="10">
        <v>2768</v>
      </c>
      <c r="H64" s="10">
        <v>2652</v>
      </c>
      <c r="I64" s="10">
        <v>2478</v>
      </c>
      <c r="J64" s="10">
        <v>0</v>
      </c>
      <c r="K64" s="10">
        <v>0</v>
      </c>
      <c r="L64" s="10">
        <v>0</v>
      </c>
      <c r="M64" s="10">
        <v>2993</v>
      </c>
      <c r="N64" s="10">
        <v>0</v>
      </c>
      <c r="O64" s="10">
        <v>2801</v>
      </c>
      <c r="P64" s="10">
        <v>5794</v>
      </c>
      <c r="Q64" s="10">
        <v>1986</v>
      </c>
      <c r="R64" s="10">
        <v>0</v>
      </c>
      <c r="S64" s="10">
        <v>36480</v>
      </c>
      <c r="T64" s="10">
        <v>22911</v>
      </c>
      <c r="U64" s="10">
        <v>15.763607257203841</v>
      </c>
      <c r="V64" s="10">
        <v>18.566237415125265</v>
      </c>
      <c r="W64" s="10">
        <v>32.954545454545453</v>
      </c>
      <c r="X64" s="10">
        <v>15.209592829217126</v>
      </c>
      <c r="Y64" s="10">
        <v>32.857720675707824</v>
      </c>
      <c r="Z64" s="10">
        <v>14.669436416184972</v>
      </c>
      <c r="AA64" s="10">
        <v>16.569381598793363</v>
      </c>
      <c r="AB64" s="10">
        <v>31.049233252623083</v>
      </c>
      <c r="AC64" s="10">
        <v>50.719298245614034</v>
      </c>
      <c r="AD64" s="10">
        <v>0</v>
      </c>
      <c r="AE64" s="10">
        <v>0</v>
      </c>
      <c r="AF64" s="10">
        <v>40.725693284330099</v>
      </c>
      <c r="AG64" s="10">
        <v>0</v>
      </c>
      <c r="AH64" s="10">
        <v>19.809710817565154</v>
      </c>
      <c r="AI64" s="10">
        <v>34.311183983431135</v>
      </c>
      <c r="AJ64" s="10">
        <v>63.74444444444444</v>
      </c>
      <c r="AK64" s="10">
        <v>24.915407854984895</v>
      </c>
      <c r="AL64" s="10">
        <v>0</v>
      </c>
      <c r="AM64" s="10">
        <v>0</v>
      </c>
      <c r="AN64" s="10">
        <v>0</v>
      </c>
      <c r="AO64" s="10">
        <v>0</v>
      </c>
      <c r="AP64" s="10">
        <v>4</v>
      </c>
      <c r="AQ64" s="10">
        <v>2</v>
      </c>
      <c r="AR64" s="10">
        <v>0</v>
      </c>
      <c r="AS64" s="10">
        <v>1</v>
      </c>
      <c r="AT64" s="10">
        <v>1</v>
      </c>
      <c r="AU64" s="10">
        <v>1</v>
      </c>
      <c r="AV64" s="10">
        <v>0</v>
      </c>
      <c r="AW64" s="10">
        <v>0</v>
      </c>
      <c r="AX64" s="10">
        <v>1</v>
      </c>
      <c r="AY64" s="10">
        <v>0</v>
      </c>
      <c r="AZ64" s="10">
        <v>2</v>
      </c>
      <c r="BA64" s="10">
        <v>1</v>
      </c>
      <c r="BB64" s="10">
        <v>0</v>
      </c>
      <c r="BC64" s="10">
        <v>13</v>
      </c>
      <c r="BD64" s="10">
        <v>1</v>
      </c>
      <c r="BE64" s="10">
        <v>2</v>
      </c>
      <c r="BF64" s="10">
        <v>12</v>
      </c>
      <c r="BG64" s="10">
        <v>7</v>
      </c>
      <c r="BH64" s="10">
        <v>2</v>
      </c>
      <c r="BI64" s="10">
        <v>0</v>
      </c>
      <c r="BJ64" s="10">
        <v>0</v>
      </c>
      <c r="BK64" s="10">
        <v>0</v>
      </c>
      <c r="BL64" s="10">
        <v>0</v>
      </c>
      <c r="BM64" s="10">
        <v>0</v>
      </c>
      <c r="BN64" s="10">
        <v>1</v>
      </c>
      <c r="BO64" s="10">
        <v>0</v>
      </c>
      <c r="BP64" s="10">
        <v>4</v>
      </c>
      <c r="BQ64" s="10">
        <v>0</v>
      </c>
      <c r="BR64" s="10">
        <v>0</v>
      </c>
      <c r="BS64" s="10">
        <v>29</v>
      </c>
    </row>
    <row r="65" spans="1:71" x14ac:dyDescent="0.55000000000000004">
      <c r="A65" s="10">
        <v>507</v>
      </c>
      <c r="B65" s="10">
        <v>2022</v>
      </c>
      <c r="C65" s="10">
        <v>3718</v>
      </c>
      <c r="D65" s="10">
        <v>21645</v>
      </c>
      <c r="E65" s="10">
        <v>12210</v>
      </c>
      <c r="F65" s="10">
        <v>6113</v>
      </c>
      <c r="G65" s="10">
        <v>6976</v>
      </c>
      <c r="H65" s="10">
        <v>1217</v>
      </c>
      <c r="I65" s="10">
        <v>20477</v>
      </c>
      <c r="J65" s="10">
        <v>0</v>
      </c>
      <c r="K65" s="10">
        <v>0</v>
      </c>
      <c r="L65" s="10">
        <v>3793</v>
      </c>
      <c r="M65" s="10">
        <v>7630</v>
      </c>
      <c r="N65" s="10">
        <v>0</v>
      </c>
      <c r="O65" s="10">
        <v>3741</v>
      </c>
      <c r="P65" s="10">
        <v>3338</v>
      </c>
      <c r="Q65" s="10">
        <v>3651</v>
      </c>
      <c r="R65" s="10">
        <v>3393</v>
      </c>
      <c r="S65" s="10">
        <v>67645</v>
      </c>
      <c r="T65" s="10">
        <v>30257</v>
      </c>
      <c r="U65" s="10">
        <v>15.211135018827326</v>
      </c>
      <c r="V65" s="10">
        <v>18.886902286902288</v>
      </c>
      <c r="W65" s="10">
        <v>33.860034207525658</v>
      </c>
      <c r="X65" s="10">
        <v>16.733742833742834</v>
      </c>
      <c r="Y65" s="10">
        <v>36.783248814002945</v>
      </c>
      <c r="Z65" s="10">
        <v>14.621559633027523</v>
      </c>
      <c r="AA65" s="10">
        <v>11.998356614626129</v>
      </c>
      <c r="AB65" s="10">
        <v>26.654832250817993</v>
      </c>
      <c r="AC65" s="10">
        <v>46.536986301369865</v>
      </c>
      <c r="AD65" s="10">
        <v>0</v>
      </c>
      <c r="AE65" s="10">
        <v>18.159767993672556</v>
      </c>
      <c r="AF65" s="10">
        <v>34.940760157273921</v>
      </c>
      <c r="AG65" s="10">
        <v>0</v>
      </c>
      <c r="AH65" s="10">
        <v>22.4255546645282</v>
      </c>
      <c r="AI65" s="10">
        <v>37.52366686638706</v>
      </c>
      <c r="AJ65" s="10">
        <v>61.289832285115295</v>
      </c>
      <c r="AK65" s="10">
        <v>28.522596548890714</v>
      </c>
      <c r="AL65" s="10">
        <v>21.87326849395815</v>
      </c>
      <c r="AM65" s="10">
        <v>36.580838323353291</v>
      </c>
      <c r="AN65" s="10">
        <v>2</v>
      </c>
      <c r="AO65" s="10">
        <v>3</v>
      </c>
      <c r="AP65" s="10">
        <v>8</v>
      </c>
      <c r="AQ65" s="10">
        <v>6</v>
      </c>
      <c r="AR65" s="10">
        <v>3</v>
      </c>
      <c r="AS65" s="10">
        <v>0</v>
      </c>
      <c r="AT65" s="10">
        <v>7</v>
      </c>
      <c r="AU65" s="10">
        <v>2</v>
      </c>
      <c r="AV65" s="10">
        <v>0</v>
      </c>
      <c r="AW65" s="10">
        <v>1</v>
      </c>
      <c r="AX65" s="10">
        <v>3</v>
      </c>
      <c r="AY65" s="10">
        <v>0</v>
      </c>
      <c r="AZ65" s="10">
        <v>2</v>
      </c>
      <c r="BA65" s="10">
        <v>1</v>
      </c>
      <c r="BB65" s="10">
        <v>2</v>
      </c>
      <c r="BC65" s="10">
        <v>40</v>
      </c>
      <c r="BD65" s="10">
        <v>0</v>
      </c>
      <c r="BE65" s="10">
        <v>0</v>
      </c>
      <c r="BF65" s="10">
        <v>9</v>
      </c>
      <c r="BG65" s="10">
        <v>8</v>
      </c>
      <c r="BH65" s="10">
        <v>2</v>
      </c>
      <c r="BI65" s="10">
        <v>0</v>
      </c>
      <c r="BJ65" s="10">
        <v>1</v>
      </c>
      <c r="BK65" s="10">
        <v>1</v>
      </c>
      <c r="BL65" s="10">
        <v>0</v>
      </c>
      <c r="BM65" s="10">
        <v>1</v>
      </c>
      <c r="BN65" s="10">
        <v>1</v>
      </c>
      <c r="BO65" s="10">
        <v>0</v>
      </c>
      <c r="BP65" s="10">
        <v>2</v>
      </c>
      <c r="BQ65" s="10">
        <v>0</v>
      </c>
      <c r="BR65" s="10">
        <v>1</v>
      </c>
      <c r="BS65" s="10">
        <v>26</v>
      </c>
    </row>
    <row r="66" spans="1:71" x14ac:dyDescent="0.55000000000000004">
      <c r="A66" s="10">
        <v>776</v>
      </c>
      <c r="B66" s="10">
        <v>2022</v>
      </c>
      <c r="C66" s="10">
        <v>4578</v>
      </c>
      <c r="D66" s="10">
        <v>21922</v>
      </c>
      <c r="E66" s="10">
        <v>13387</v>
      </c>
      <c r="F66" s="10">
        <v>6223</v>
      </c>
      <c r="G66" s="10">
        <v>5951</v>
      </c>
      <c r="H66" s="10">
        <v>1194</v>
      </c>
      <c r="I66" s="10">
        <v>4899</v>
      </c>
      <c r="J66" s="10">
        <v>0</v>
      </c>
      <c r="K66" s="10">
        <v>0</v>
      </c>
      <c r="L66" s="10">
        <v>1958</v>
      </c>
      <c r="M66" s="10">
        <v>5081</v>
      </c>
      <c r="N66" s="10">
        <v>0</v>
      </c>
      <c r="O66" s="10">
        <v>4010</v>
      </c>
      <c r="P66" s="10">
        <v>5369</v>
      </c>
      <c r="Q66" s="10">
        <v>4252</v>
      </c>
      <c r="R66" s="10">
        <v>10412</v>
      </c>
      <c r="S66" s="10">
        <v>58471</v>
      </c>
      <c r="T66" s="10">
        <v>30765</v>
      </c>
      <c r="U66" s="10">
        <v>18.574268239405853</v>
      </c>
      <c r="V66" s="10">
        <v>19.616275887236565</v>
      </c>
      <c r="W66" s="10">
        <v>35.529326923076923</v>
      </c>
      <c r="X66" s="10">
        <v>18.466422648838424</v>
      </c>
      <c r="Y66" s="10">
        <v>39.396111200385668</v>
      </c>
      <c r="Z66" s="10">
        <v>16.163333893463282</v>
      </c>
      <c r="AA66" s="10">
        <v>14.856783919597991</v>
      </c>
      <c r="AB66" s="10">
        <v>35.38987548479281</v>
      </c>
      <c r="AC66" s="10">
        <v>53.379362670713199</v>
      </c>
      <c r="AD66" s="10">
        <v>0</v>
      </c>
      <c r="AE66" s="10">
        <v>22.449948927477017</v>
      </c>
      <c r="AF66" s="10">
        <v>47.457980712458173</v>
      </c>
      <c r="AG66" s="10">
        <v>0</v>
      </c>
      <c r="AH66" s="10">
        <v>22.249625935162097</v>
      </c>
      <c r="AI66" s="10">
        <v>45.831812255541067</v>
      </c>
      <c r="AJ66" s="10">
        <v>63.775473399458974</v>
      </c>
      <c r="AK66" s="10">
        <v>35.269520225776105</v>
      </c>
      <c r="AL66" s="10">
        <v>23.527372262773724</v>
      </c>
      <c r="AM66" s="10">
        <v>34.55555555555555</v>
      </c>
      <c r="AN66" s="10">
        <v>2</v>
      </c>
      <c r="AO66" s="10">
        <v>3</v>
      </c>
      <c r="AP66" s="10">
        <v>3</v>
      </c>
      <c r="AQ66" s="10">
        <v>6</v>
      </c>
      <c r="AR66" s="10">
        <v>3</v>
      </c>
      <c r="AS66" s="10">
        <v>1</v>
      </c>
      <c r="AT66" s="10">
        <v>2</v>
      </c>
      <c r="AU66" s="10">
        <v>2</v>
      </c>
      <c r="AV66" s="10">
        <v>0</v>
      </c>
      <c r="AW66" s="10">
        <v>1</v>
      </c>
      <c r="AX66" s="10">
        <v>1</v>
      </c>
      <c r="AY66" s="10">
        <v>0</v>
      </c>
      <c r="AZ66" s="10">
        <v>2</v>
      </c>
      <c r="BA66" s="10">
        <v>2</v>
      </c>
      <c r="BB66" s="10">
        <v>2</v>
      </c>
      <c r="BC66" s="10">
        <v>30</v>
      </c>
      <c r="BD66" s="10">
        <v>2</v>
      </c>
      <c r="BE66" s="10">
        <v>0</v>
      </c>
      <c r="BF66" s="10">
        <v>5</v>
      </c>
      <c r="BG66" s="10">
        <v>3</v>
      </c>
      <c r="BH66" s="10">
        <v>0</v>
      </c>
      <c r="BI66" s="10">
        <v>0</v>
      </c>
      <c r="BJ66" s="10">
        <v>1</v>
      </c>
      <c r="BK66" s="10">
        <v>0</v>
      </c>
      <c r="BL66" s="10">
        <v>0</v>
      </c>
      <c r="BM66" s="10">
        <v>0</v>
      </c>
      <c r="BN66" s="10">
        <v>0</v>
      </c>
      <c r="BO66" s="10">
        <v>0</v>
      </c>
      <c r="BP66" s="10">
        <v>2</v>
      </c>
      <c r="BQ66" s="10">
        <v>0</v>
      </c>
      <c r="BR66" s="10">
        <v>1</v>
      </c>
      <c r="BS66" s="10">
        <v>14</v>
      </c>
    </row>
    <row r="67" spans="1:71" x14ac:dyDescent="0.55000000000000004">
      <c r="A67" s="10">
        <v>924</v>
      </c>
      <c r="B67" s="10">
        <v>2022</v>
      </c>
      <c r="C67" s="10">
        <v>4380</v>
      </c>
      <c r="D67" s="10">
        <v>22403</v>
      </c>
      <c r="E67" s="10">
        <v>7692</v>
      </c>
      <c r="F67" s="10">
        <v>6148</v>
      </c>
      <c r="G67" s="10">
        <v>0</v>
      </c>
      <c r="H67" s="10">
        <v>0</v>
      </c>
      <c r="I67" s="10">
        <v>9323</v>
      </c>
      <c r="J67" s="10">
        <v>0</v>
      </c>
      <c r="K67" s="10">
        <v>0</v>
      </c>
      <c r="L67" s="10">
        <v>712</v>
      </c>
      <c r="M67" s="10">
        <v>3944</v>
      </c>
      <c r="N67" s="10">
        <v>0</v>
      </c>
      <c r="O67" s="10">
        <v>2470</v>
      </c>
      <c r="P67" s="10">
        <v>5375</v>
      </c>
      <c r="Q67" s="10">
        <v>1124</v>
      </c>
      <c r="R67" s="10">
        <v>2150</v>
      </c>
      <c r="S67" s="10">
        <v>49411</v>
      </c>
      <c r="T67" s="10">
        <v>16310</v>
      </c>
      <c r="U67" s="10">
        <v>20.497945205479454</v>
      </c>
      <c r="V67" s="10">
        <v>26.432933089318393</v>
      </c>
      <c r="W67" s="10">
        <v>57.067735165044837</v>
      </c>
      <c r="X67" s="10">
        <v>21.006370254810193</v>
      </c>
      <c r="Y67" s="10">
        <v>34.658262849707221</v>
      </c>
      <c r="Z67" s="10">
        <v>0</v>
      </c>
      <c r="AA67" s="10">
        <v>0</v>
      </c>
      <c r="AB67" s="10">
        <v>31.512388716078515</v>
      </c>
      <c r="AC67" s="10">
        <v>48.079189686924494</v>
      </c>
      <c r="AD67" s="10">
        <v>0</v>
      </c>
      <c r="AE67" s="10">
        <v>19.007022471910112</v>
      </c>
      <c r="AF67" s="10">
        <v>43.552991886409735</v>
      </c>
      <c r="AG67" s="10">
        <v>0</v>
      </c>
      <c r="AH67" s="10">
        <v>20.217813765182186</v>
      </c>
      <c r="AI67" s="10">
        <v>44.074232558139535</v>
      </c>
      <c r="AJ67" s="10">
        <v>74.864285714285714</v>
      </c>
      <c r="AK67" s="10">
        <v>23.90035587188612</v>
      </c>
      <c r="AL67" s="10">
        <v>24.11674418604651</v>
      </c>
      <c r="AM67" s="10">
        <v>0</v>
      </c>
      <c r="AN67" s="10">
        <v>2</v>
      </c>
      <c r="AO67" s="10">
        <v>2</v>
      </c>
      <c r="AP67" s="10">
        <v>8</v>
      </c>
      <c r="AQ67" s="10">
        <v>6</v>
      </c>
      <c r="AR67" s="10">
        <v>0</v>
      </c>
      <c r="AS67" s="10">
        <v>0</v>
      </c>
      <c r="AT67" s="10">
        <v>2</v>
      </c>
      <c r="AU67" s="10">
        <v>1</v>
      </c>
      <c r="AV67" s="10">
        <v>0</v>
      </c>
      <c r="AW67" s="10">
        <v>0</v>
      </c>
      <c r="AX67" s="10">
        <v>1</v>
      </c>
      <c r="AY67" s="10">
        <v>0</v>
      </c>
      <c r="AZ67" s="10">
        <v>1</v>
      </c>
      <c r="BA67" s="10">
        <v>1</v>
      </c>
      <c r="BB67" s="10">
        <v>1</v>
      </c>
      <c r="BC67" s="10">
        <v>25</v>
      </c>
      <c r="BD67" s="10">
        <v>0</v>
      </c>
      <c r="BE67" s="10">
        <v>0</v>
      </c>
      <c r="BF67" s="10">
        <v>4</v>
      </c>
      <c r="BG67" s="10">
        <v>2</v>
      </c>
      <c r="BH67" s="10">
        <v>0</v>
      </c>
      <c r="BI67" s="10">
        <v>0</v>
      </c>
      <c r="BJ67" s="10">
        <v>2</v>
      </c>
      <c r="BK67" s="10">
        <v>0</v>
      </c>
      <c r="BL67" s="10">
        <v>0</v>
      </c>
      <c r="BM67" s="10">
        <v>0</v>
      </c>
      <c r="BN67" s="10">
        <v>1</v>
      </c>
      <c r="BO67" s="10">
        <v>0</v>
      </c>
      <c r="BP67" s="10">
        <v>1</v>
      </c>
      <c r="BQ67" s="10">
        <v>0</v>
      </c>
      <c r="BR67" s="10">
        <v>0</v>
      </c>
      <c r="BS67" s="10">
        <v>10</v>
      </c>
    </row>
    <row r="68" spans="1:71" x14ac:dyDescent="0.55000000000000004">
      <c r="A68" s="10">
        <v>784</v>
      </c>
      <c r="B68" s="10">
        <v>2022</v>
      </c>
      <c r="C68" s="10">
        <v>3698</v>
      </c>
      <c r="D68" s="10">
        <v>22407</v>
      </c>
      <c r="E68" s="10">
        <v>12910</v>
      </c>
      <c r="F68" s="10">
        <v>4849</v>
      </c>
      <c r="G68" s="10">
        <v>5639</v>
      </c>
      <c r="H68" s="10">
        <v>0</v>
      </c>
      <c r="I68" s="10">
        <v>10005</v>
      </c>
      <c r="J68" s="10">
        <v>0</v>
      </c>
      <c r="K68" s="10">
        <v>0</v>
      </c>
      <c r="L68" s="10">
        <v>490</v>
      </c>
      <c r="M68" s="10">
        <v>4425</v>
      </c>
      <c r="N68" s="10">
        <v>0</v>
      </c>
      <c r="O68" s="10">
        <v>3996</v>
      </c>
      <c r="P68" s="10">
        <v>4500</v>
      </c>
      <c r="Q68" s="10">
        <v>4375</v>
      </c>
      <c r="R68" s="10">
        <v>1720</v>
      </c>
      <c r="S68" s="10">
        <v>51620</v>
      </c>
      <c r="T68" s="10">
        <v>27394</v>
      </c>
      <c r="U68" s="10">
        <v>22.724175229853973</v>
      </c>
      <c r="V68" s="10">
        <v>18.373454723970188</v>
      </c>
      <c r="W68" s="10">
        <v>39.443605683836587</v>
      </c>
      <c r="X68" s="10">
        <v>14.280402788536019</v>
      </c>
      <c r="Y68" s="10">
        <v>26.658073829655599</v>
      </c>
      <c r="Z68" s="10">
        <v>11.740734172725661</v>
      </c>
      <c r="AA68" s="10">
        <v>0</v>
      </c>
      <c r="AB68" s="10">
        <v>28.318240879560221</v>
      </c>
      <c r="AC68" s="10">
        <v>0</v>
      </c>
      <c r="AD68" s="10">
        <v>0</v>
      </c>
      <c r="AE68" s="10">
        <v>0</v>
      </c>
      <c r="AF68" s="10">
        <v>52.026214689265537</v>
      </c>
      <c r="AG68" s="10">
        <v>0</v>
      </c>
      <c r="AH68" s="10">
        <v>44.806306306306304</v>
      </c>
      <c r="AI68" s="10">
        <v>35.384888888888888</v>
      </c>
      <c r="AJ68" s="10">
        <v>60.29296875</v>
      </c>
      <c r="AK68" s="10">
        <v>27.16525714285714</v>
      </c>
      <c r="AL68" s="10">
        <v>26.266279069767442</v>
      </c>
      <c r="AM68" s="10">
        <v>0</v>
      </c>
      <c r="AN68" s="10">
        <v>2</v>
      </c>
      <c r="AO68" s="10">
        <v>2</v>
      </c>
      <c r="AP68" s="10">
        <v>3</v>
      </c>
      <c r="AQ68" s="10">
        <v>6</v>
      </c>
      <c r="AR68" s="10">
        <v>3</v>
      </c>
      <c r="AS68" s="10">
        <v>0</v>
      </c>
      <c r="AT68" s="10">
        <v>3</v>
      </c>
      <c r="AU68" s="10">
        <v>2</v>
      </c>
      <c r="AV68" s="10">
        <v>0</v>
      </c>
      <c r="AW68" s="10">
        <v>1</v>
      </c>
      <c r="AX68" s="10">
        <v>1</v>
      </c>
      <c r="AY68" s="10">
        <v>0</v>
      </c>
      <c r="AZ68" s="10">
        <v>0</v>
      </c>
      <c r="BA68" s="10">
        <v>1</v>
      </c>
      <c r="BB68" s="10">
        <v>0</v>
      </c>
      <c r="BC68" s="10">
        <v>24</v>
      </c>
      <c r="BD68" s="10">
        <v>1</v>
      </c>
      <c r="BE68" s="10">
        <v>1</v>
      </c>
      <c r="BF68" s="10">
        <v>5</v>
      </c>
      <c r="BG68" s="10">
        <v>3</v>
      </c>
      <c r="BH68" s="10">
        <v>1</v>
      </c>
      <c r="BI68" s="10">
        <v>0</v>
      </c>
      <c r="BJ68" s="10">
        <v>1</v>
      </c>
      <c r="BK68" s="10">
        <v>0</v>
      </c>
      <c r="BL68" s="10">
        <v>0</v>
      </c>
      <c r="BM68" s="10">
        <v>0</v>
      </c>
      <c r="BN68" s="10">
        <v>0</v>
      </c>
      <c r="BO68" s="10">
        <v>0</v>
      </c>
      <c r="BP68" s="10">
        <v>1</v>
      </c>
      <c r="BQ68" s="10">
        <v>0</v>
      </c>
      <c r="BR68" s="10">
        <v>0</v>
      </c>
      <c r="BS68" s="10">
        <v>13</v>
      </c>
    </row>
    <row r="69" spans="1:71" x14ac:dyDescent="0.55000000000000004">
      <c r="A69" s="10">
        <v>464</v>
      </c>
      <c r="B69" s="10">
        <v>2022</v>
      </c>
      <c r="C69" s="10">
        <v>8677</v>
      </c>
      <c r="D69" s="10">
        <v>22424</v>
      </c>
      <c r="E69" s="10">
        <v>18625</v>
      </c>
      <c r="F69" s="10">
        <v>5124</v>
      </c>
      <c r="G69" s="10">
        <v>3544</v>
      </c>
      <c r="H69" s="10">
        <v>3323</v>
      </c>
      <c r="I69" s="10">
        <v>9684</v>
      </c>
      <c r="J69" s="10">
        <v>45</v>
      </c>
      <c r="K69" s="10">
        <v>0</v>
      </c>
      <c r="L69" s="10">
        <v>4088</v>
      </c>
      <c r="M69" s="10">
        <v>5779</v>
      </c>
      <c r="N69" s="10">
        <v>0</v>
      </c>
      <c r="O69" s="10">
        <v>4049</v>
      </c>
      <c r="P69" s="10">
        <v>4679</v>
      </c>
      <c r="Q69" s="10">
        <v>2080</v>
      </c>
      <c r="R69" s="10">
        <v>286</v>
      </c>
      <c r="S69" s="10">
        <v>57742</v>
      </c>
      <c r="T69" s="10">
        <v>34665</v>
      </c>
      <c r="U69" s="10">
        <v>17.746110406822634</v>
      </c>
      <c r="V69" s="10">
        <v>28.083125222975383</v>
      </c>
      <c r="W69" s="10">
        <v>34.995608899297423</v>
      </c>
      <c r="X69" s="10">
        <v>14.890416107382551</v>
      </c>
      <c r="Y69" s="10">
        <v>42.333528493364561</v>
      </c>
      <c r="Z69" s="10">
        <v>17.845090293453726</v>
      </c>
      <c r="AA69" s="10">
        <v>16.771591934998494</v>
      </c>
      <c r="AB69" s="10">
        <v>37.034076827757126</v>
      </c>
      <c r="AC69" s="10">
        <v>49.659638554216869</v>
      </c>
      <c r="AD69" s="10">
        <v>0</v>
      </c>
      <c r="AE69" s="10">
        <v>0</v>
      </c>
      <c r="AF69" s="10">
        <v>39.017304031839423</v>
      </c>
      <c r="AG69" s="10">
        <v>0</v>
      </c>
      <c r="AH69" s="10">
        <v>24.607804396147198</v>
      </c>
      <c r="AI69" s="10">
        <v>51.98845907245137</v>
      </c>
      <c r="AJ69" s="10">
        <v>63.413965087281795</v>
      </c>
      <c r="AK69" s="10">
        <v>33.673076923076927</v>
      </c>
      <c r="AL69" s="10">
        <v>82.02447552447552</v>
      </c>
      <c r="AM69" s="10">
        <v>0</v>
      </c>
      <c r="AN69" s="10">
        <v>3</v>
      </c>
      <c r="AO69" s="10">
        <v>2</v>
      </c>
      <c r="AP69" s="10">
        <v>6</v>
      </c>
      <c r="AQ69" s="10">
        <v>7</v>
      </c>
      <c r="AR69" s="10">
        <v>0</v>
      </c>
      <c r="AS69" s="10">
        <v>0</v>
      </c>
      <c r="AT69" s="10">
        <v>4</v>
      </c>
      <c r="AU69" s="10">
        <v>2</v>
      </c>
      <c r="AV69" s="10">
        <v>0</v>
      </c>
      <c r="AW69" s="10">
        <v>1</v>
      </c>
      <c r="AX69" s="10">
        <v>2</v>
      </c>
      <c r="AY69" s="10">
        <v>2</v>
      </c>
      <c r="AZ69" s="10">
        <v>0</v>
      </c>
      <c r="BA69" s="10">
        <v>1</v>
      </c>
      <c r="BB69" s="10">
        <v>0</v>
      </c>
      <c r="BC69" s="10">
        <v>30</v>
      </c>
      <c r="BD69" s="10">
        <v>3</v>
      </c>
      <c r="BE69" s="10">
        <v>1</v>
      </c>
      <c r="BF69" s="10">
        <v>1</v>
      </c>
      <c r="BG69" s="10">
        <v>7</v>
      </c>
      <c r="BH69" s="10">
        <v>2</v>
      </c>
      <c r="BI69" s="10">
        <v>3</v>
      </c>
      <c r="BJ69" s="10">
        <v>1</v>
      </c>
      <c r="BK69" s="10">
        <v>0</v>
      </c>
      <c r="BL69" s="10">
        <v>0</v>
      </c>
      <c r="BM69" s="10">
        <v>0</v>
      </c>
      <c r="BN69" s="10">
        <v>0</v>
      </c>
      <c r="BO69" s="10">
        <v>0</v>
      </c>
      <c r="BP69" s="10">
        <v>1</v>
      </c>
      <c r="BQ69" s="10">
        <v>0</v>
      </c>
      <c r="BR69" s="10">
        <v>0</v>
      </c>
      <c r="BS69" s="10">
        <v>19</v>
      </c>
    </row>
    <row r="70" spans="1:71" x14ac:dyDescent="0.55000000000000004">
      <c r="A70" s="10">
        <v>960</v>
      </c>
      <c r="B70" s="10">
        <v>2022</v>
      </c>
      <c r="C70" s="10">
        <v>3279</v>
      </c>
      <c r="D70" s="10">
        <v>22438</v>
      </c>
      <c r="E70" s="10">
        <v>8782</v>
      </c>
      <c r="F70" s="10">
        <v>3491</v>
      </c>
      <c r="G70" s="10">
        <v>3048</v>
      </c>
      <c r="H70" s="10">
        <v>336</v>
      </c>
      <c r="I70" s="10">
        <v>7052</v>
      </c>
      <c r="J70" s="10">
        <v>0</v>
      </c>
      <c r="K70" s="10">
        <v>0</v>
      </c>
      <c r="L70" s="10">
        <v>1501</v>
      </c>
      <c r="M70" s="10">
        <v>5925</v>
      </c>
      <c r="N70" s="10">
        <v>0</v>
      </c>
      <c r="O70" s="10">
        <v>2108</v>
      </c>
      <c r="P70" s="10">
        <v>2864</v>
      </c>
      <c r="Q70" s="10">
        <v>1717</v>
      </c>
      <c r="R70" s="10">
        <v>4001</v>
      </c>
      <c r="S70" s="10">
        <v>48777</v>
      </c>
      <c r="T70" s="10">
        <v>17765</v>
      </c>
      <c r="U70" s="10">
        <v>17.200670936261055</v>
      </c>
      <c r="V70" s="10">
        <v>20.759648810054369</v>
      </c>
      <c r="W70" s="10">
        <v>33.50678733031674</v>
      </c>
      <c r="X70" s="10">
        <v>19.80460031883398</v>
      </c>
      <c r="Y70" s="10">
        <v>27.606702950443999</v>
      </c>
      <c r="Z70" s="10">
        <v>20.749343832020998</v>
      </c>
      <c r="AA70" s="10">
        <v>16.985119047619047</v>
      </c>
      <c r="AB70" s="10">
        <v>31.287436188315372</v>
      </c>
      <c r="AC70" s="10">
        <v>49.569933920704848</v>
      </c>
      <c r="AD70" s="10">
        <v>0</v>
      </c>
      <c r="AE70" s="10">
        <v>20.059293804130579</v>
      </c>
      <c r="AF70" s="10">
        <v>38.134345991561183</v>
      </c>
      <c r="AG70" s="10">
        <v>0</v>
      </c>
      <c r="AH70" s="10">
        <v>28.09819734345351</v>
      </c>
      <c r="AI70" s="10">
        <v>39.969972067039102</v>
      </c>
      <c r="AJ70" s="10">
        <v>61.08756841282252</v>
      </c>
      <c r="AK70" s="10">
        <v>28.869539895165989</v>
      </c>
      <c r="AL70" s="10">
        <v>21.866783304173957</v>
      </c>
      <c r="AM70" s="10">
        <v>0</v>
      </c>
      <c r="AN70" s="10">
        <v>2</v>
      </c>
      <c r="AO70" s="10">
        <v>1</v>
      </c>
      <c r="AP70" s="10">
        <v>6</v>
      </c>
      <c r="AQ70" s="10">
        <v>5</v>
      </c>
      <c r="AR70" s="10">
        <v>1</v>
      </c>
      <c r="AS70" s="10">
        <v>0</v>
      </c>
      <c r="AT70" s="10">
        <v>2</v>
      </c>
      <c r="AU70" s="10">
        <v>1</v>
      </c>
      <c r="AV70" s="10">
        <v>0</v>
      </c>
      <c r="AW70" s="10">
        <v>1</v>
      </c>
      <c r="AX70" s="10">
        <v>3</v>
      </c>
      <c r="AY70" s="10">
        <v>0</v>
      </c>
      <c r="AZ70" s="10">
        <v>1</v>
      </c>
      <c r="BA70" s="10">
        <v>1</v>
      </c>
      <c r="BB70" s="10">
        <v>1</v>
      </c>
      <c r="BC70" s="10">
        <v>25</v>
      </c>
      <c r="BD70" s="10">
        <v>0</v>
      </c>
      <c r="BE70" s="10">
        <v>0</v>
      </c>
      <c r="BF70" s="10">
        <v>15</v>
      </c>
      <c r="BG70" s="10">
        <v>2</v>
      </c>
      <c r="BH70" s="10">
        <v>2</v>
      </c>
      <c r="BI70" s="10">
        <v>0</v>
      </c>
      <c r="BJ70" s="10">
        <v>1</v>
      </c>
      <c r="BK70" s="10">
        <v>0</v>
      </c>
      <c r="BL70" s="10">
        <v>0</v>
      </c>
      <c r="BM70" s="10">
        <v>0</v>
      </c>
      <c r="BN70" s="10">
        <v>0</v>
      </c>
      <c r="BO70" s="10">
        <v>0</v>
      </c>
      <c r="BP70" s="10">
        <v>4</v>
      </c>
      <c r="BQ70" s="10">
        <v>0</v>
      </c>
      <c r="BR70" s="10">
        <v>0</v>
      </c>
      <c r="BS70" s="10">
        <v>24</v>
      </c>
    </row>
    <row r="71" spans="1:71" x14ac:dyDescent="0.55000000000000004">
      <c r="A71" s="10" t="e">
        <v>#N/A</v>
      </c>
      <c r="B71" s="10">
        <v>2022</v>
      </c>
      <c r="C71" s="10">
        <v>4423</v>
      </c>
      <c r="D71" s="10">
        <v>22571</v>
      </c>
      <c r="E71" s="10">
        <v>13565</v>
      </c>
      <c r="F71" s="10">
        <v>4881</v>
      </c>
      <c r="G71" s="10">
        <v>10682</v>
      </c>
      <c r="H71" s="10">
        <v>2143</v>
      </c>
      <c r="I71" s="10">
        <v>11260</v>
      </c>
      <c r="J71" s="10">
        <v>0</v>
      </c>
      <c r="K71" s="10">
        <v>0</v>
      </c>
      <c r="L71" s="10">
        <v>3560</v>
      </c>
      <c r="M71" s="10">
        <v>6096</v>
      </c>
      <c r="N71" s="10">
        <v>0</v>
      </c>
      <c r="O71" s="10">
        <v>3677</v>
      </c>
      <c r="P71" s="10">
        <v>2950</v>
      </c>
      <c r="Q71" s="10">
        <v>7288</v>
      </c>
      <c r="R71" s="10">
        <v>2164</v>
      </c>
      <c r="S71" s="10">
        <v>60312</v>
      </c>
      <c r="T71" s="10">
        <v>34948</v>
      </c>
      <c r="U71" s="10">
        <v>14.991860728012661</v>
      </c>
      <c r="V71" s="10">
        <v>21.906650126268222</v>
      </c>
      <c r="W71" s="10">
        <v>41.263176265270502</v>
      </c>
      <c r="X71" s="10">
        <v>16.572134168816806</v>
      </c>
      <c r="Y71" s="10">
        <v>33.987707437000616</v>
      </c>
      <c r="Z71" s="10">
        <v>17.186669163078076</v>
      </c>
      <c r="AA71" s="10">
        <v>13.575361642557162</v>
      </c>
      <c r="AB71" s="10">
        <v>33.508170515097689</v>
      </c>
      <c r="AC71" s="10">
        <v>58.608386638237384</v>
      </c>
      <c r="AD71" s="10">
        <v>0</v>
      </c>
      <c r="AE71" s="10">
        <v>16.412921348314605</v>
      </c>
      <c r="AF71" s="10">
        <v>41.13024934383202</v>
      </c>
      <c r="AG71" s="10">
        <v>0</v>
      </c>
      <c r="AH71" s="10">
        <v>24.514549904813705</v>
      </c>
      <c r="AI71" s="10">
        <v>49.810847457627119</v>
      </c>
      <c r="AJ71" s="10">
        <v>72.008247422680412</v>
      </c>
      <c r="AK71" s="10">
        <v>30.459110867178921</v>
      </c>
      <c r="AL71" s="10">
        <v>22.435304990757857</v>
      </c>
      <c r="AM71" s="10">
        <v>0</v>
      </c>
      <c r="AN71" s="10">
        <v>2</v>
      </c>
      <c r="AO71" s="10">
        <v>2</v>
      </c>
      <c r="AP71" s="10">
        <v>7</v>
      </c>
      <c r="AQ71" s="10">
        <v>4</v>
      </c>
      <c r="AR71" s="10">
        <v>3</v>
      </c>
      <c r="AS71" s="10">
        <v>1</v>
      </c>
      <c r="AT71" s="10">
        <v>5</v>
      </c>
      <c r="AU71" s="10">
        <v>2</v>
      </c>
      <c r="AV71" s="10">
        <v>0</v>
      </c>
      <c r="AW71" s="10">
        <v>0</v>
      </c>
      <c r="AX71" s="10">
        <v>2</v>
      </c>
      <c r="AY71" s="10">
        <v>0</v>
      </c>
      <c r="AZ71" s="10">
        <v>1</v>
      </c>
      <c r="BA71" s="10">
        <v>3</v>
      </c>
      <c r="BB71" s="10">
        <v>0</v>
      </c>
      <c r="BC71" s="10">
        <v>32</v>
      </c>
      <c r="BD71" s="10">
        <v>0</v>
      </c>
      <c r="BE71" s="10">
        <v>0</v>
      </c>
      <c r="BF71" s="10">
        <v>3</v>
      </c>
      <c r="BG71" s="10">
        <v>2</v>
      </c>
      <c r="BH71" s="10">
        <v>3</v>
      </c>
      <c r="BI71" s="10">
        <v>0</v>
      </c>
      <c r="BJ71" s="10">
        <v>0</v>
      </c>
      <c r="BK71" s="10">
        <v>0</v>
      </c>
      <c r="BL71" s="10">
        <v>0</v>
      </c>
      <c r="BM71" s="10">
        <v>1</v>
      </c>
      <c r="BN71" s="10">
        <v>0</v>
      </c>
      <c r="BO71" s="10">
        <v>0</v>
      </c>
      <c r="BP71" s="10">
        <v>0</v>
      </c>
      <c r="BQ71" s="10">
        <v>0</v>
      </c>
      <c r="BR71" s="10">
        <v>0</v>
      </c>
      <c r="BS71" s="10">
        <v>9</v>
      </c>
    </row>
    <row r="72" spans="1:71" x14ac:dyDescent="0.55000000000000004">
      <c r="A72" s="10">
        <v>756</v>
      </c>
      <c r="B72" s="10">
        <v>2022</v>
      </c>
      <c r="C72" s="10">
        <v>2460</v>
      </c>
      <c r="D72" s="10">
        <v>22699</v>
      </c>
      <c r="E72" s="10">
        <v>7602</v>
      </c>
      <c r="F72" s="10">
        <v>4221</v>
      </c>
      <c r="G72" s="10">
        <v>0</v>
      </c>
      <c r="H72" s="10">
        <v>1528</v>
      </c>
      <c r="I72" s="10">
        <v>3007</v>
      </c>
      <c r="J72" s="10">
        <v>0</v>
      </c>
      <c r="K72" s="10">
        <v>0</v>
      </c>
      <c r="L72" s="10">
        <v>1196</v>
      </c>
      <c r="M72" s="10">
        <v>8693</v>
      </c>
      <c r="N72" s="10">
        <v>0</v>
      </c>
      <c r="O72" s="10">
        <v>3823</v>
      </c>
      <c r="P72" s="10">
        <v>5323</v>
      </c>
      <c r="Q72" s="10">
        <v>0</v>
      </c>
      <c r="R72" s="10">
        <v>46</v>
      </c>
      <c r="S72" s="10">
        <v>43424</v>
      </c>
      <c r="T72" s="10">
        <v>17174</v>
      </c>
      <c r="U72" s="10">
        <v>18.768699186991871</v>
      </c>
      <c r="V72" s="10">
        <v>17.154544253050794</v>
      </c>
      <c r="W72" s="10">
        <v>25.421461897356142</v>
      </c>
      <c r="X72" s="10">
        <v>14.059852670349908</v>
      </c>
      <c r="Y72" s="10">
        <v>31.117507699597251</v>
      </c>
      <c r="Z72" s="10">
        <v>0</v>
      </c>
      <c r="AA72" s="10">
        <v>11.363219895287958</v>
      </c>
      <c r="AB72" s="10">
        <v>26.871300299301627</v>
      </c>
      <c r="AC72" s="10">
        <v>37.766789667896674</v>
      </c>
      <c r="AD72" s="10">
        <v>0</v>
      </c>
      <c r="AE72" s="10">
        <v>22.540969899665551</v>
      </c>
      <c r="AF72" s="10">
        <v>36.834004371333258</v>
      </c>
      <c r="AG72" s="10">
        <v>0</v>
      </c>
      <c r="AH72" s="10">
        <v>19.89301595605545</v>
      </c>
      <c r="AI72" s="10">
        <v>33.799924854405411</v>
      </c>
      <c r="AJ72" s="10">
        <v>59.340909090909086</v>
      </c>
      <c r="AK72" s="10">
        <v>0</v>
      </c>
      <c r="AL72" s="10">
        <v>14.521739130434781</v>
      </c>
      <c r="AM72" s="10">
        <v>0</v>
      </c>
      <c r="AN72" s="10">
        <v>1</v>
      </c>
      <c r="AO72" s="10">
        <v>2</v>
      </c>
      <c r="AP72" s="10">
        <v>8</v>
      </c>
      <c r="AQ72" s="10">
        <v>3</v>
      </c>
      <c r="AR72" s="10">
        <v>0</v>
      </c>
      <c r="AS72" s="10">
        <v>0</v>
      </c>
      <c r="AT72" s="10">
        <v>2</v>
      </c>
      <c r="AU72" s="10">
        <v>2</v>
      </c>
      <c r="AV72" s="10">
        <v>0</v>
      </c>
      <c r="AW72" s="10">
        <v>1</v>
      </c>
      <c r="AX72" s="10">
        <v>3</v>
      </c>
      <c r="AY72" s="10">
        <v>0</v>
      </c>
      <c r="AZ72" s="10">
        <v>2</v>
      </c>
      <c r="BA72" s="10">
        <v>1</v>
      </c>
      <c r="BB72" s="10">
        <v>0</v>
      </c>
      <c r="BC72" s="10">
        <v>25</v>
      </c>
      <c r="BD72" s="10">
        <v>0</v>
      </c>
      <c r="BE72" s="10">
        <v>0</v>
      </c>
      <c r="BF72" s="10">
        <v>1</v>
      </c>
      <c r="BG72" s="10">
        <v>5</v>
      </c>
      <c r="BH72" s="10">
        <v>0</v>
      </c>
      <c r="BI72" s="10">
        <v>1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1</v>
      </c>
      <c r="BQ72" s="10">
        <v>0</v>
      </c>
      <c r="BR72" s="10">
        <v>0</v>
      </c>
      <c r="BS72" s="10">
        <v>8</v>
      </c>
    </row>
    <row r="73" spans="1:71" x14ac:dyDescent="0.55000000000000004">
      <c r="A73" s="10">
        <v>709</v>
      </c>
      <c r="B73" s="10">
        <v>2022</v>
      </c>
      <c r="C73" s="10">
        <v>4928</v>
      </c>
      <c r="D73" s="10">
        <v>22711</v>
      </c>
      <c r="E73" s="10">
        <v>12569</v>
      </c>
      <c r="F73" s="10">
        <v>4030</v>
      </c>
      <c r="G73" s="10">
        <v>1585</v>
      </c>
      <c r="H73" s="10">
        <v>1123</v>
      </c>
      <c r="I73" s="10">
        <v>11593</v>
      </c>
      <c r="J73" s="10">
        <v>0</v>
      </c>
      <c r="K73" s="10">
        <v>0</v>
      </c>
      <c r="L73" s="10">
        <v>4284</v>
      </c>
      <c r="M73" s="10">
        <v>5754</v>
      </c>
      <c r="N73" s="10">
        <v>365</v>
      </c>
      <c r="O73" s="10">
        <v>3254</v>
      </c>
      <c r="P73" s="10">
        <v>3986</v>
      </c>
      <c r="Q73" s="10">
        <v>1880</v>
      </c>
      <c r="R73" s="10">
        <v>2485</v>
      </c>
      <c r="S73" s="10">
        <v>57986</v>
      </c>
      <c r="T73" s="10">
        <v>22561</v>
      </c>
      <c r="U73" s="10">
        <v>16.944399350649352</v>
      </c>
      <c r="V73" s="10">
        <v>16.206419796574348</v>
      </c>
      <c r="W73" s="10">
        <v>33.816592261904759</v>
      </c>
      <c r="X73" s="10">
        <v>17.455485718832048</v>
      </c>
      <c r="Y73" s="10">
        <v>30.254342431761788</v>
      </c>
      <c r="Z73" s="10">
        <v>15.478864353312302</v>
      </c>
      <c r="AA73" s="10">
        <v>14.181656277827248</v>
      </c>
      <c r="AB73" s="10">
        <v>25.961010954886572</v>
      </c>
      <c r="AC73" s="10">
        <v>43.828939301042311</v>
      </c>
      <c r="AD73" s="10">
        <v>0</v>
      </c>
      <c r="AE73" s="10">
        <v>18.435574229691877</v>
      </c>
      <c r="AF73" s="10">
        <v>36.241223496697948</v>
      </c>
      <c r="AG73" s="10">
        <v>18.887671232876713</v>
      </c>
      <c r="AH73" s="10">
        <v>19.722188076213889</v>
      </c>
      <c r="AI73" s="10">
        <v>33.880080280983442</v>
      </c>
      <c r="AJ73" s="10">
        <v>0</v>
      </c>
      <c r="AK73" s="10">
        <v>25.186702127659572</v>
      </c>
      <c r="AL73" s="10">
        <v>21.24466800804829</v>
      </c>
      <c r="AM73" s="10">
        <v>32.879832810867292</v>
      </c>
      <c r="AN73" s="10">
        <v>2</v>
      </c>
      <c r="AO73" s="10">
        <v>2</v>
      </c>
      <c r="AP73" s="10">
        <v>11</v>
      </c>
      <c r="AQ73" s="10">
        <v>8</v>
      </c>
      <c r="AR73" s="10">
        <v>1</v>
      </c>
      <c r="AS73" s="10">
        <v>0</v>
      </c>
      <c r="AT73" s="10">
        <v>6</v>
      </c>
      <c r="AU73" s="10">
        <v>2</v>
      </c>
      <c r="AV73" s="10">
        <v>0</v>
      </c>
      <c r="AW73" s="10">
        <v>1</v>
      </c>
      <c r="AX73" s="10">
        <v>2</v>
      </c>
      <c r="AY73" s="10">
        <v>0</v>
      </c>
      <c r="AZ73" s="10">
        <v>2</v>
      </c>
      <c r="BA73" s="10">
        <v>1</v>
      </c>
      <c r="BB73" s="10">
        <v>0</v>
      </c>
      <c r="BC73" s="10">
        <v>38</v>
      </c>
      <c r="BD73" s="10">
        <v>0</v>
      </c>
      <c r="BE73" s="10">
        <v>1</v>
      </c>
      <c r="BF73" s="10">
        <v>7</v>
      </c>
      <c r="BG73" s="10">
        <v>4</v>
      </c>
      <c r="BH73" s="10">
        <v>2</v>
      </c>
      <c r="BI73" s="10">
        <v>2</v>
      </c>
      <c r="BJ73" s="10">
        <v>0</v>
      </c>
      <c r="BK73" s="10">
        <v>1</v>
      </c>
      <c r="BL73" s="10">
        <v>0</v>
      </c>
      <c r="BM73" s="10">
        <v>1</v>
      </c>
      <c r="BN73" s="10">
        <v>1</v>
      </c>
      <c r="BO73" s="10">
        <v>1</v>
      </c>
      <c r="BP73" s="10">
        <v>0</v>
      </c>
      <c r="BQ73" s="10">
        <v>0</v>
      </c>
      <c r="BR73" s="10">
        <v>1</v>
      </c>
      <c r="BS73" s="10">
        <v>21</v>
      </c>
    </row>
    <row r="74" spans="1:71" x14ac:dyDescent="0.55000000000000004">
      <c r="A74" s="10">
        <v>769</v>
      </c>
      <c r="B74" s="10">
        <v>2022</v>
      </c>
      <c r="C74" s="10">
        <v>523</v>
      </c>
      <c r="D74" s="10">
        <v>22751</v>
      </c>
      <c r="E74" s="10">
        <v>0</v>
      </c>
      <c r="F74" s="10">
        <v>7399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3104</v>
      </c>
      <c r="M74" s="10">
        <v>4510</v>
      </c>
      <c r="N74" s="10">
        <v>0</v>
      </c>
      <c r="O74" s="10">
        <v>0</v>
      </c>
      <c r="P74" s="10">
        <v>48383</v>
      </c>
      <c r="Q74" s="10">
        <v>2900</v>
      </c>
      <c r="R74" s="10">
        <v>0</v>
      </c>
      <c r="S74" s="10">
        <v>82171</v>
      </c>
      <c r="T74" s="10">
        <v>7399</v>
      </c>
      <c r="U74" s="10">
        <v>37.978967495219884</v>
      </c>
      <c r="V74" s="10">
        <v>29.778866862995034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23.285115979381445</v>
      </c>
      <c r="AF74" s="10">
        <v>59.137472283813743</v>
      </c>
      <c r="AG74" s="10">
        <v>0</v>
      </c>
      <c r="AH74" s="10">
        <v>0</v>
      </c>
      <c r="AI74" s="10">
        <v>60.685798730959213</v>
      </c>
      <c r="AJ74" s="10">
        <v>0</v>
      </c>
      <c r="AK74" s="10">
        <v>26.472068965517241</v>
      </c>
      <c r="AL74" s="10">
        <v>0</v>
      </c>
      <c r="AM74" s="10">
        <v>0</v>
      </c>
      <c r="AN74" s="10">
        <v>0</v>
      </c>
      <c r="AO74" s="10">
        <v>1</v>
      </c>
      <c r="AP74" s="10">
        <v>5</v>
      </c>
      <c r="AQ74" s="10">
        <v>0</v>
      </c>
      <c r="AR74" s="10">
        <v>0</v>
      </c>
      <c r="AS74" s="10">
        <v>0</v>
      </c>
      <c r="AT74" s="10">
        <v>0</v>
      </c>
      <c r="AU74" s="10">
        <v>0</v>
      </c>
      <c r="AV74" s="10">
        <v>0</v>
      </c>
      <c r="AW74" s="10">
        <v>2</v>
      </c>
      <c r="AX74" s="10">
        <v>3</v>
      </c>
      <c r="AY74" s="10">
        <v>0</v>
      </c>
      <c r="AZ74" s="10">
        <v>10</v>
      </c>
      <c r="BA74" s="10">
        <v>1</v>
      </c>
      <c r="BB74" s="10">
        <v>0</v>
      </c>
      <c r="BC74" s="10">
        <v>22</v>
      </c>
      <c r="BD74" s="10">
        <v>2</v>
      </c>
      <c r="BE74" s="10">
        <v>0</v>
      </c>
      <c r="BF74" s="10">
        <v>13</v>
      </c>
      <c r="BG74" s="10">
        <v>0</v>
      </c>
      <c r="BH74" s="10">
        <v>0</v>
      </c>
      <c r="BI74" s="10">
        <v>0</v>
      </c>
      <c r="BJ74" s="10">
        <v>0</v>
      </c>
      <c r="BK74" s="10">
        <v>0</v>
      </c>
      <c r="BL74" s="10">
        <v>0</v>
      </c>
      <c r="BM74" s="10">
        <v>0</v>
      </c>
      <c r="BN74" s="10">
        <v>1</v>
      </c>
      <c r="BO74" s="10">
        <v>0</v>
      </c>
      <c r="BP74" s="10">
        <v>18</v>
      </c>
      <c r="BQ74" s="10">
        <v>3</v>
      </c>
      <c r="BR74" s="10">
        <v>0</v>
      </c>
      <c r="BS74" s="10">
        <v>37</v>
      </c>
    </row>
    <row r="75" spans="1:71" x14ac:dyDescent="0.55000000000000004">
      <c r="A75" s="10">
        <v>664</v>
      </c>
      <c r="B75" s="10">
        <v>2022</v>
      </c>
      <c r="C75" s="10">
        <v>2302</v>
      </c>
      <c r="D75" s="10">
        <v>22769</v>
      </c>
      <c r="E75" s="10">
        <v>11056</v>
      </c>
      <c r="F75" s="10">
        <v>4073</v>
      </c>
      <c r="G75" s="10">
        <v>2818</v>
      </c>
      <c r="H75" s="10">
        <v>0</v>
      </c>
      <c r="I75" s="10">
        <v>2576</v>
      </c>
      <c r="J75" s="10">
        <v>0</v>
      </c>
      <c r="K75" s="10">
        <v>0</v>
      </c>
      <c r="L75" s="10">
        <v>1475</v>
      </c>
      <c r="M75" s="10">
        <v>7425</v>
      </c>
      <c r="N75" s="10">
        <v>0</v>
      </c>
      <c r="O75" s="10">
        <v>2882</v>
      </c>
      <c r="P75" s="10">
        <v>13181</v>
      </c>
      <c r="Q75" s="10">
        <v>0</v>
      </c>
      <c r="R75" s="10">
        <v>2208</v>
      </c>
      <c r="S75" s="10">
        <v>51936</v>
      </c>
      <c r="T75" s="10">
        <v>20829</v>
      </c>
      <c r="U75" s="10">
        <v>18.654213727193742</v>
      </c>
      <c r="V75" s="10">
        <v>18.487417102200361</v>
      </c>
      <c r="W75" s="10">
        <v>0</v>
      </c>
      <c r="X75" s="10">
        <v>15.956313314037628</v>
      </c>
      <c r="Y75" s="10">
        <v>30.987232997790329</v>
      </c>
      <c r="Z75" s="10">
        <v>10.467352732434351</v>
      </c>
      <c r="AA75" s="10">
        <v>0</v>
      </c>
      <c r="AB75" s="10">
        <v>25.032220496894411</v>
      </c>
      <c r="AC75" s="10">
        <v>0</v>
      </c>
      <c r="AD75" s="10">
        <v>0</v>
      </c>
      <c r="AE75" s="10">
        <v>20.744406779661016</v>
      </c>
      <c r="AF75" s="10">
        <v>36.729562289562288</v>
      </c>
      <c r="AG75" s="10">
        <v>0</v>
      </c>
      <c r="AH75" s="10">
        <v>33.051006245662734</v>
      </c>
      <c r="AI75" s="10">
        <v>34.354677186859874</v>
      </c>
      <c r="AJ75" s="10">
        <v>0</v>
      </c>
      <c r="AK75" s="10">
        <v>0</v>
      </c>
      <c r="AL75" s="10">
        <v>18.092844202898551</v>
      </c>
      <c r="AM75" s="10">
        <v>0</v>
      </c>
      <c r="AN75" s="10">
        <v>0</v>
      </c>
      <c r="AO75" s="10">
        <v>2</v>
      </c>
      <c r="AP75" s="10">
        <v>7</v>
      </c>
      <c r="AQ75" s="10">
        <v>3</v>
      </c>
      <c r="AR75" s="10">
        <v>1</v>
      </c>
      <c r="AS75" s="10">
        <v>0</v>
      </c>
      <c r="AT75" s="10">
        <v>2</v>
      </c>
      <c r="AU75" s="10">
        <v>2</v>
      </c>
      <c r="AV75" s="10">
        <v>0</v>
      </c>
      <c r="AW75" s="10">
        <v>1</v>
      </c>
      <c r="AX75" s="10">
        <v>4</v>
      </c>
      <c r="AY75" s="10">
        <v>0</v>
      </c>
      <c r="AZ75" s="10">
        <v>3</v>
      </c>
      <c r="BA75" s="10">
        <v>0</v>
      </c>
      <c r="BB75" s="10">
        <v>1</v>
      </c>
      <c r="BC75" s="10">
        <v>26</v>
      </c>
      <c r="BD75" s="10">
        <v>1</v>
      </c>
      <c r="BE75" s="10">
        <v>1</v>
      </c>
      <c r="BF75" s="10">
        <v>4</v>
      </c>
      <c r="BG75" s="10">
        <v>7</v>
      </c>
      <c r="BH75" s="10">
        <v>0</v>
      </c>
      <c r="BI75" s="10">
        <v>0</v>
      </c>
      <c r="BJ75" s="10">
        <v>0</v>
      </c>
      <c r="BK75" s="10">
        <v>1</v>
      </c>
      <c r="BL75" s="10">
        <v>0</v>
      </c>
      <c r="BM75" s="10">
        <v>0</v>
      </c>
      <c r="BN75" s="10">
        <v>1</v>
      </c>
      <c r="BO75" s="10">
        <v>0</v>
      </c>
      <c r="BP75" s="10">
        <v>2</v>
      </c>
      <c r="BQ75" s="10">
        <v>0</v>
      </c>
      <c r="BR75" s="10">
        <v>1</v>
      </c>
      <c r="BS75" s="10">
        <v>18</v>
      </c>
    </row>
    <row r="76" spans="1:71" x14ac:dyDescent="0.55000000000000004">
      <c r="A76" s="10">
        <v>385</v>
      </c>
      <c r="B76" s="10">
        <v>2022</v>
      </c>
      <c r="C76" s="10">
        <v>3935</v>
      </c>
      <c r="D76" s="10">
        <v>22909</v>
      </c>
      <c r="E76" s="10">
        <v>11445</v>
      </c>
      <c r="F76" s="10">
        <v>5558</v>
      </c>
      <c r="G76" s="10">
        <v>2507</v>
      </c>
      <c r="H76" s="10">
        <v>1349</v>
      </c>
      <c r="I76" s="10">
        <v>8247</v>
      </c>
      <c r="J76" s="10">
        <v>0</v>
      </c>
      <c r="K76" s="10">
        <v>0</v>
      </c>
      <c r="L76" s="10">
        <v>1608</v>
      </c>
      <c r="M76" s="10">
        <v>2921</v>
      </c>
      <c r="N76" s="10">
        <v>1101</v>
      </c>
      <c r="O76" s="10">
        <v>3050</v>
      </c>
      <c r="P76" s="10">
        <v>5222</v>
      </c>
      <c r="Q76" s="10">
        <v>1605</v>
      </c>
      <c r="R76" s="10">
        <v>1815</v>
      </c>
      <c r="S76" s="10">
        <v>49363</v>
      </c>
      <c r="T76" s="10">
        <v>23909</v>
      </c>
      <c r="U76" s="10">
        <v>24.300381194409148</v>
      </c>
      <c r="V76" s="10">
        <v>31.551617268322492</v>
      </c>
      <c r="W76" s="10">
        <v>34.098550724637676</v>
      </c>
      <c r="X76" s="10">
        <v>17.597291393621667</v>
      </c>
      <c r="Y76" s="10">
        <v>52.10939186757826</v>
      </c>
      <c r="Z76" s="10">
        <v>27.352612684483443</v>
      </c>
      <c r="AA76" s="10">
        <v>37.576723498888065</v>
      </c>
      <c r="AB76" s="10">
        <v>36.789741724263365</v>
      </c>
      <c r="AC76" s="10">
        <v>50.728923476005193</v>
      </c>
      <c r="AD76" s="10">
        <v>0</v>
      </c>
      <c r="AE76" s="10">
        <v>32.056592039800996</v>
      </c>
      <c r="AF76" s="10">
        <v>87.196508045190001</v>
      </c>
      <c r="AG76" s="10">
        <v>89.237057220708436</v>
      </c>
      <c r="AH76" s="10">
        <v>31.651803278688526</v>
      </c>
      <c r="AI76" s="10">
        <v>65.744159325928763</v>
      </c>
      <c r="AJ76" s="10">
        <v>0</v>
      </c>
      <c r="AK76" s="10">
        <v>43.39127725856698</v>
      </c>
      <c r="AL76" s="10">
        <v>30.645730027548211</v>
      </c>
      <c r="AM76" s="10">
        <v>0</v>
      </c>
      <c r="AN76" s="10">
        <v>3</v>
      </c>
      <c r="AO76" s="10">
        <v>4</v>
      </c>
      <c r="AP76" s="10">
        <v>13</v>
      </c>
      <c r="AQ76" s="10">
        <v>7</v>
      </c>
      <c r="AR76" s="10">
        <v>1</v>
      </c>
      <c r="AS76" s="10">
        <v>1</v>
      </c>
      <c r="AT76" s="10">
        <v>5</v>
      </c>
      <c r="AU76" s="10">
        <v>2</v>
      </c>
      <c r="AV76" s="10">
        <v>0</v>
      </c>
      <c r="AW76" s="10">
        <v>1</v>
      </c>
      <c r="AX76" s="10">
        <v>3</v>
      </c>
      <c r="AY76" s="10">
        <v>1</v>
      </c>
      <c r="AZ76" s="10">
        <v>3</v>
      </c>
      <c r="BA76" s="10">
        <v>1</v>
      </c>
      <c r="BB76" s="10">
        <v>1</v>
      </c>
      <c r="BC76" s="10">
        <v>46</v>
      </c>
      <c r="BD76" s="10">
        <v>2</v>
      </c>
      <c r="BE76" s="10">
        <v>0</v>
      </c>
      <c r="BF76" s="10">
        <v>1</v>
      </c>
      <c r="BG76" s="10">
        <v>7</v>
      </c>
      <c r="BH76" s="10">
        <v>4</v>
      </c>
      <c r="BI76" s="10">
        <v>0</v>
      </c>
      <c r="BJ76" s="10">
        <v>1</v>
      </c>
      <c r="BK76" s="10">
        <v>1</v>
      </c>
      <c r="BL76" s="10">
        <v>0</v>
      </c>
      <c r="BM76" s="10">
        <v>0</v>
      </c>
      <c r="BN76" s="10">
        <v>1</v>
      </c>
      <c r="BO76" s="10">
        <v>0</v>
      </c>
      <c r="BP76" s="10">
        <v>0</v>
      </c>
      <c r="BQ76" s="10">
        <v>0</v>
      </c>
      <c r="BR76" s="10">
        <v>0</v>
      </c>
      <c r="BS76" s="10">
        <v>17</v>
      </c>
    </row>
    <row r="77" spans="1:71" x14ac:dyDescent="0.55000000000000004">
      <c r="A77" s="10">
        <v>810</v>
      </c>
      <c r="B77" s="10">
        <v>2022</v>
      </c>
      <c r="C77" s="10">
        <v>3001</v>
      </c>
      <c r="D77" s="10">
        <v>23041</v>
      </c>
      <c r="E77" s="10">
        <v>2769</v>
      </c>
      <c r="F77" s="10">
        <v>9238</v>
      </c>
      <c r="G77" s="10">
        <v>9288</v>
      </c>
      <c r="H77" s="10">
        <v>0</v>
      </c>
      <c r="I77" s="10">
        <v>21467</v>
      </c>
      <c r="J77" s="10">
        <v>234</v>
      </c>
      <c r="K77" s="10">
        <v>0</v>
      </c>
      <c r="L77" s="10">
        <v>8162</v>
      </c>
      <c r="M77" s="10">
        <v>10164</v>
      </c>
      <c r="N77" s="10">
        <v>0</v>
      </c>
      <c r="O77" s="10">
        <v>3207</v>
      </c>
      <c r="P77" s="10">
        <v>13262</v>
      </c>
      <c r="Q77" s="10">
        <v>5390</v>
      </c>
      <c r="R77" s="10">
        <v>1523</v>
      </c>
      <c r="S77" s="10">
        <v>86244</v>
      </c>
      <c r="T77" s="10">
        <v>24502</v>
      </c>
      <c r="U77" s="10">
        <v>18.711762745751415</v>
      </c>
      <c r="V77" s="10">
        <v>25.914153031552448</v>
      </c>
      <c r="W77" s="10">
        <v>38.150479246369656</v>
      </c>
      <c r="X77" s="10">
        <v>16.956663055254605</v>
      </c>
      <c r="Y77" s="10">
        <v>29.89651439705564</v>
      </c>
      <c r="Z77" s="10">
        <v>16.303186907838072</v>
      </c>
      <c r="AA77" s="10">
        <v>0</v>
      </c>
      <c r="AB77" s="10">
        <v>30.287930311641123</v>
      </c>
      <c r="AC77" s="10">
        <v>51.412840308817557</v>
      </c>
      <c r="AD77" s="10">
        <v>0</v>
      </c>
      <c r="AE77" s="10">
        <v>19.511271747120805</v>
      </c>
      <c r="AF77" s="10">
        <v>41.52479338842975</v>
      </c>
      <c r="AG77" s="10">
        <v>0</v>
      </c>
      <c r="AH77" s="10">
        <v>23.159338946055502</v>
      </c>
      <c r="AI77" s="10">
        <v>39.568240084451816</v>
      </c>
      <c r="AJ77" s="10">
        <v>75.924384949348763</v>
      </c>
      <c r="AK77" s="10">
        <v>30.724118738404449</v>
      </c>
      <c r="AL77" s="10">
        <v>28.338804990151019</v>
      </c>
      <c r="AM77" s="10">
        <v>0</v>
      </c>
      <c r="AN77" s="10">
        <v>1</v>
      </c>
      <c r="AO77" s="10">
        <v>5</v>
      </c>
      <c r="AP77" s="10">
        <v>11</v>
      </c>
      <c r="AQ77" s="10">
        <v>0</v>
      </c>
      <c r="AR77" s="10">
        <v>4</v>
      </c>
      <c r="AS77" s="10">
        <v>0</v>
      </c>
      <c r="AT77" s="10">
        <v>10</v>
      </c>
      <c r="AU77" s="10">
        <v>2</v>
      </c>
      <c r="AV77" s="10">
        <v>0</v>
      </c>
      <c r="AW77" s="10">
        <v>3</v>
      </c>
      <c r="AX77" s="10">
        <v>5</v>
      </c>
      <c r="AY77" s="10">
        <v>0</v>
      </c>
      <c r="AZ77" s="10">
        <v>3</v>
      </c>
      <c r="BA77" s="10">
        <v>3</v>
      </c>
      <c r="BB77" s="10">
        <v>0</v>
      </c>
      <c r="BC77" s="10">
        <v>47</v>
      </c>
      <c r="BD77" s="10">
        <v>0</v>
      </c>
      <c r="BE77" s="10">
        <v>1</v>
      </c>
      <c r="BF77" s="10">
        <v>14</v>
      </c>
      <c r="BG77" s="10">
        <v>1</v>
      </c>
      <c r="BH77" s="10">
        <v>1</v>
      </c>
      <c r="BI77" s="10">
        <v>0</v>
      </c>
      <c r="BJ77" s="10">
        <v>7</v>
      </c>
      <c r="BK77" s="10">
        <v>0</v>
      </c>
      <c r="BL77" s="10">
        <v>0</v>
      </c>
      <c r="BM77" s="10">
        <v>0</v>
      </c>
      <c r="BN77" s="10">
        <v>0</v>
      </c>
      <c r="BO77" s="10">
        <v>0</v>
      </c>
      <c r="BP77" s="10">
        <v>10</v>
      </c>
      <c r="BQ77" s="10">
        <v>0</v>
      </c>
      <c r="BR77" s="10">
        <v>1</v>
      </c>
      <c r="BS77" s="10">
        <v>35</v>
      </c>
    </row>
    <row r="78" spans="1:71" x14ac:dyDescent="0.55000000000000004">
      <c r="A78" s="10">
        <v>146</v>
      </c>
      <c r="B78" s="10">
        <v>2022</v>
      </c>
      <c r="C78" s="10">
        <v>5877</v>
      </c>
      <c r="D78" s="10">
        <v>23053</v>
      </c>
      <c r="E78" s="10">
        <v>21165</v>
      </c>
      <c r="F78" s="10">
        <v>6422</v>
      </c>
      <c r="G78" s="10">
        <v>6510</v>
      </c>
      <c r="H78" s="10">
        <v>5143</v>
      </c>
      <c r="I78" s="10">
        <v>8395</v>
      </c>
      <c r="J78" s="10">
        <v>0</v>
      </c>
      <c r="K78" s="10">
        <v>0</v>
      </c>
      <c r="L78" s="10">
        <v>0</v>
      </c>
      <c r="M78" s="10">
        <v>6450</v>
      </c>
      <c r="N78" s="10">
        <v>662</v>
      </c>
      <c r="O78" s="10">
        <v>6725</v>
      </c>
      <c r="P78" s="10">
        <v>4195</v>
      </c>
      <c r="Q78" s="10">
        <v>1445</v>
      </c>
      <c r="R78" s="10">
        <v>14903</v>
      </c>
      <c r="S78" s="10">
        <v>64980</v>
      </c>
      <c r="T78" s="10">
        <v>45965</v>
      </c>
      <c r="U78" s="10">
        <v>20.867619533775738</v>
      </c>
      <c r="V78" s="10">
        <v>25.855550253763067</v>
      </c>
      <c r="W78" s="10">
        <v>34.222437425506556</v>
      </c>
      <c r="X78" s="10">
        <v>16.964753130167729</v>
      </c>
      <c r="Y78" s="10">
        <v>37.324198069137339</v>
      </c>
      <c r="Z78" s="10">
        <v>22.213517665130567</v>
      </c>
      <c r="AA78" s="10">
        <v>19.206688703091583</v>
      </c>
      <c r="AB78" s="10">
        <v>33.432638475282907</v>
      </c>
      <c r="AC78" s="10">
        <v>51.137464095199014</v>
      </c>
      <c r="AD78" s="10">
        <v>0</v>
      </c>
      <c r="AE78" s="10">
        <v>0</v>
      </c>
      <c r="AF78" s="10">
        <v>42.985891472868211</v>
      </c>
      <c r="AG78" s="10">
        <v>105.77794561933534</v>
      </c>
      <c r="AH78" s="10">
        <v>31.747509293680295</v>
      </c>
      <c r="AI78" s="10">
        <v>49.574731823599521</v>
      </c>
      <c r="AJ78" s="10">
        <v>63.82081447963801</v>
      </c>
      <c r="AK78" s="10">
        <v>29.342560553633216</v>
      </c>
      <c r="AL78" s="10">
        <v>28.957525330470375</v>
      </c>
      <c r="AM78" s="10">
        <v>0</v>
      </c>
      <c r="AN78" s="10">
        <v>4</v>
      </c>
      <c r="AO78" s="10">
        <v>0</v>
      </c>
      <c r="AP78" s="10">
        <v>12</v>
      </c>
      <c r="AQ78" s="10">
        <v>9</v>
      </c>
      <c r="AR78" s="10">
        <v>8</v>
      </c>
      <c r="AS78" s="10">
        <v>0</v>
      </c>
      <c r="AT78" s="10">
        <v>4</v>
      </c>
      <c r="AU78" s="10">
        <v>4</v>
      </c>
      <c r="AV78" s="10">
        <v>0</v>
      </c>
      <c r="AW78" s="10">
        <v>0</v>
      </c>
      <c r="AX78" s="10">
        <v>4</v>
      </c>
      <c r="AY78" s="10">
        <v>1</v>
      </c>
      <c r="AZ78" s="10">
        <v>2</v>
      </c>
      <c r="BA78" s="10">
        <v>1</v>
      </c>
      <c r="BB78" s="10">
        <v>6</v>
      </c>
      <c r="BC78" s="10">
        <v>55</v>
      </c>
      <c r="BD78" s="10">
        <v>0</v>
      </c>
      <c r="BE78" s="10">
        <v>7</v>
      </c>
      <c r="BF78" s="10">
        <v>8</v>
      </c>
      <c r="BG78" s="10">
        <v>16</v>
      </c>
      <c r="BH78" s="10">
        <v>3</v>
      </c>
      <c r="BI78" s="10">
        <v>0</v>
      </c>
      <c r="BJ78" s="10">
        <v>1</v>
      </c>
      <c r="BK78" s="10">
        <v>0</v>
      </c>
      <c r="BL78" s="10">
        <v>0</v>
      </c>
      <c r="BM78" s="10">
        <v>0</v>
      </c>
      <c r="BN78" s="10">
        <v>1</v>
      </c>
      <c r="BO78" s="10">
        <v>1</v>
      </c>
      <c r="BP78" s="10">
        <v>0</v>
      </c>
      <c r="BQ78" s="10">
        <v>0</v>
      </c>
      <c r="BR78" s="10">
        <v>3</v>
      </c>
      <c r="BS78" s="10">
        <v>40</v>
      </c>
    </row>
    <row r="79" spans="1:71" x14ac:dyDescent="0.55000000000000004">
      <c r="A79" s="10">
        <v>420</v>
      </c>
      <c r="B79" s="10">
        <v>2022</v>
      </c>
      <c r="C79" s="10">
        <v>4597</v>
      </c>
      <c r="D79" s="10">
        <v>23253</v>
      </c>
      <c r="E79" s="10">
        <v>11484</v>
      </c>
      <c r="F79" s="10">
        <v>5210</v>
      </c>
      <c r="G79" s="10">
        <v>7695</v>
      </c>
      <c r="H79" s="10">
        <v>42</v>
      </c>
      <c r="I79" s="10">
        <v>7157</v>
      </c>
      <c r="J79" s="10">
        <v>0</v>
      </c>
      <c r="K79" s="10">
        <v>0</v>
      </c>
      <c r="L79" s="10">
        <v>0</v>
      </c>
      <c r="M79" s="10">
        <v>3466</v>
      </c>
      <c r="N79" s="10">
        <v>0</v>
      </c>
      <c r="O79" s="10">
        <v>2988</v>
      </c>
      <c r="P79" s="10">
        <v>5291</v>
      </c>
      <c r="Q79" s="10">
        <v>2001</v>
      </c>
      <c r="R79" s="10">
        <v>9179</v>
      </c>
      <c r="S79" s="10">
        <v>54944</v>
      </c>
      <c r="T79" s="10">
        <v>27419</v>
      </c>
      <c r="U79" s="10">
        <v>16.143789427887754</v>
      </c>
      <c r="V79" s="10">
        <v>18.245344686707092</v>
      </c>
      <c r="W79" s="10">
        <v>34.626517059766428</v>
      </c>
      <c r="X79" s="10">
        <v>17.797544409613373</v>
      </c>
      <c r="Y79" s="10">
        <v>31.685220729366605</v>
      </c>
      <c r="Z79" s="10">
        <v>14.932293697205976</v>
      </c>
      <c r="AA79" s="10">
        <v>9.7142857142857135</v>
      </c>
      <c r="AB79" s="10">
        <v>27.291602626798937</v>
      </c>
      <c r="AC79" s="10">
        <v>52.412337662337663</v>
      </c>
      <c r="AD79" s="10">
        <v>0</v>
      </c>
      <c r="AE79" s="10">
        <v>0</v>
      </c>
      <c r="AF79" s="10">
        <v>41.601846508944028</v>
      </c>
      <c r="AG79" s="10">
        <v>0</v>
      </c>
      <c r="AH79" s="10">
        <v>24.531124497991968</v>
      </c>
      <c r="AI79" s="10">
        <v>38.579852579852577</v>
      </c>
      <c r="AJ79" s="10">
        <v>70.978891820580472</v>
      </c>
      <c r="AK79" s="10">
        <v>25.984507746126933</v>
      </c>
      <c r="AL79" s="10">
        <v>22.243163743327159</v>
      </c>
      <c r="AM79" s="10">
        <v>36.646551724137929</v>
      </c>
      <c r="AN79" s="10">
        <v>2</v>
      </c>
      <c r="AO79" s="10">
        <v>1</v>
      </c>
      <c r="AP79" s="10">
        <v>8</v>
      </c>
      <c r="AQ79" s="10">
        <v>5</v>
      </c>
      <c r="AR79" s="10">
        <v>1</v>
      </c>
      <c r="AS79" s="10">
        <v>0</v>
      </c>
      <c r="AT79" s="10">
        <v>2</v>
      </c>
      <c r="AU79" s="10">
        <v>1</v>
      </c>
      <c r="AV79" s="10">
        <v>0</v>
      </c>
      <c r="AW79" s="10">
        <v>0</v>
      </c>
      <c r="AX79" s="10">
        <v>2</v>
      </c>
      <c r="AY79" s="10">
        <v>0</v>
      </c>
      <c r="AZ79" s="10">
        <v>1</v>
      </c>
      <c r="BA79" s="10">
        <v>1</v>
      </c>
      <c r="BB79" s="10">
        <v>2</v>
      </c>
      <c r="BC79" s="10">
        <v>26</v>
      </c>
      <c r="BD79" s="10">
        <v>1</v>
      </c>
      <c r="BE79" s="10">
        <v>0</v>
      </c>
      <c r="BF79" s="10">
        <v>6</v>
      </c>
      <c r="BG79" s="10">
        <v>4</v>
      </c>
      <c r="BH79" s="10">
        <v>5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1</v>
      </c>
      <c r="BO79" s="10">
        <v>0</v>
      </c>
      <c r="BP79" s="10">
        <v>0</v>
      </c>
      <c r="BQ79" s="10">
        <v>0</v>
      </c>
      <c r="BR79" s="10">
        <v>3</v>
      </c>
      <c r="BS79" s="10">
        <v>20</v>
      </c>
    </row>
    <row r="80" spans="1:71" x14ac:dyDescent="0.55000000000000004">
      <c r="A80" s="10">
        <v>733</v>
      </c>
      <c r="B80" s="10">
        <v>2022</v>
      </c>
      <c r="C80" s="10">
        <v>3296</v>
      </c>
      <c r="D80" s="10">
        <v>23332</v>
      </c>
      <c r="E80" s="10">
        <v>10073</v>
      </c>
      <c r="F80" s="10">
        <v>4171</v>
      </c>
      <c r="G80" s="10">
        <v>2929</v>
      </c>
      <c r="H80" s="10">
        <v>1356</v>
      </c>
      <c r="I80" s="10">
        <v>6299</v>
      </c>
      <c r="J80" s="10">
        <v>0</v>
      </c>
      <c r="K80" s="10">
        <v>0</v>
      </c>
      <c r="L80" s="10">
        <v>0</v>
      </c>
      <c r="M80" s="10">
        <v>2086</v>
      </c>
      <c r="N80" s="10">
        <v>105</v>
      </c>
      <c r="O80" s="10">
        <v>1880</v>
      </c>
      <c r="P80" s="10">
        <v>8463</v>
      </c>
      <c r="Q80" s="10">
        <v>1806</v>
      </c>
      <c r="R80" s="10">
        <v>4214</v>
      </c>
      <c r="S80" s="10">
        <v>49601</v>
      </c>
      <c r="T80" s="10">
        <v>20409</v>
      </c>
      <c r="U80" s="10">
        <v>18.57129854368932</v>
      </c>
      <c r="V80" s="10">
        <v>19.957183267615292</v>
      </c>
      <c r="W80" s="10">
        <v>0</v>
      </c>
      <c r="X80" s="10">
        <v>18.484761242926634</v>
      </c>
      <c r="Y80" s="10">
        <v>34.903620234955646</v>
      </c>
      <c r="Z80" s="10">
        <v>15.260157050187777</v>
      </c>
      <c r="AA80" s="10">
        <v>15.009587020648969</v>
      </c>
      <c r="AB80" s="10">
        <v>26.638196539133197</v>
      </c>
      <c r="AC80" s="10">
        <v>0</v>
      </c>
      <c r="AD80" s="10">
        <v>0</v>
      </c>
      <c r="AE80" s="10">
        <v>0</v>
      </c>
      <c r="AF80" s="10">
        <v>41.610738255033553</v>
      </c>
      <c r="AG80" s="10">
        <v>12.609523809523809</v>
      </c>
      <c r="AH80" s="10">
        <v>26.074999999999999</v>
      </c>
      <c r="AI80" s="10">
        <v>35.774193548387096</v>
      </c>
      <c r="AJ80" s="10">
        <v>0</v>
      </c>
      <c r="AK80" s="10">
        <v>26.942967884828349</v>
      </c>
      <c r="AL80" s="10">
        <v>22.089938300901757</v>
      </c>
      <c r="AM80" s="10">
        <v>0</v>
      </c>
      <c r="AN80" s="10">
        <v>2</v>
      </c>
      <c r="AO80" s="10">
        <v>2</v>
      </c>
      <c r="AP80" s="10">
        <v>6</v>
      </c>
      <c r="AQ80" s="10">
        <v>4</v>
      </c>
      <c r="AR80" s="10">
        <v>1</v>
      </c>
      <c r="AS80" s="10">
        <v>0</v>
      </c>
      <c r="AT80" s="10">
        <v>1</v>
      </c>
      <c r="AU80" s="10">
        <v>1</v>
      </c>
      <c r="AV80" s="10">
        <v>0</v>
      </c>
      <c r="AW80" s="10">
        <v>0</v>
      </c>
      <c r="AX80" s="10">
        <v>1</v>
      </c>
      <c r="AY80" s="10">
        <v>0</v>
      </c>
      <c r="AZ80" s="10">
        <v>5</v>
      </c>
      <c r="BA80" s="10">
        <v>1</v>
      </c>
      <c r="BB80" s="10">
        <v>2</v>
      </c>
      <c r="BC80" s="10">
        <v>26</v>
      </c>
      <c r="BD80" s="10">
        <v>0</v>
      </c>
      <c r="BE80" s="10">
        <v>0</v>
      </c>
      <c r="BF80" s="10">
        <v>12</v>
      </c>
      <c r="BG80" s="10">
        <v>5</v>
      </c>
      <c r="BH80" s="10">
        <v>0</v>
      </c>
      <c r="BI80" s="10">
        <v>1</v>
      </c>
      <c r="BJ80" s="10">
        <v>1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0</v>
      </c>
      <c r="BQ80" s="10">
        <v>0</v>
      </c>
      <c r="BR80" s="10">
        <v>1</v>
      </c>
      <c r="BS80" s="10">
        <v>20</v>
      </c>
    </row>
    <row r="81" spans="1:71" x14ac:dyDescent="0.55000000000000004">
      <c r="A81" s="10">
        <v>135</v>
      </c>
      <c r="B81" s="10">
        <v>2022</v>
      </c>
      <c r="C81" s="10">
        <v>1888</v>
      </c>
      <c r="D81" s="10">
        <v>23445</v>
      </c>
      <c r="E81" s="10">
        <v>11224</v>
      </c>
      <c r="F81" s="10">
        <v>5066</v>
      </c>
      <c r="G81" s="10">
        <v>0</v>
      </c>
      <c r="H81" s="10">
        <v>0</v>
      </c>
      <c r="I81" s="10">
        <v>5822</v>
      </c>
      <c r="J81" s="10">
        <v>0</v>
      </c>
      <c r="K81" s="10">
        <v>0</v>
      </c>
      <c r="L81" s="10">
        <v>1231</v>
      </c>
      <c r="M81" s="10">
        <v>5692</v>
      </c>
      <c r="N81" s="10">
        <v>0</v>
      </c>
      <c r="O81" s="10">
        <v>2206</v>
      </c>
      <c r="P81" s="10">
        <v>13140</v>
      </c>
      <c r="Q81" s="10">
        <v>2116</v>
      </c>
      <c r="R81" s="10">
        <v>0</v>
      </c>
      <c r="S81" s="10">
        <v>53334</v>
      </c>
      <c r="T81" s="10">
        <v>18496</v>
      </c>
      <c r="U81" s="10">
        <v>19.026483050847457</v>
      </c>
      <c r="V81" s="10">
        <v>21.64388995521433</v>
      </c>
      <c r="W81" s="10">
        <v>0</v>
      </c>
      <c r="X81" s="10">
        <v>19.268086243763364</v>
      </c>
      <c r="Y81" s="10">
        <v>30.060007895775762</v>
      </c>
      <c r="Z81" s="10">
        <v>0</v>
      </c>
      <c r="AA81" s="10">
        <v>0</v>
      </c>
      <c r="AB81" s="10">
        <v>29.397286155960149</v>
      </c>
      <c r="AC81" s="10">
        <v>0</v>
      </c>
      <c r="AD81" s="10">
        <v>0</v>
      </c>
      <c r="AE81" s="10">
        <v>0</v>
      </c>
      <c r="AF81" s="10">
        <v>37.049894588896699</v>
      </c>
      <c r="AG81" s="10">
        <v>0</v>
      </c>
      <c r="AH81" s="10">
        <v>25.140525838621944</v>
      </c>
      <c r="AI81" s="10">
        <v>34.551217656012177</v>
      </c>
      <c r="AJ81" s="10">
        <v>0</v>
      </c>
      <c r="AK81" s="10">
        <v>27.054820415879014</v>
      </c>
      <c r="AL81" s="10">
        <v>0</v>
      </c>
      <c r="AM81" s="10">
        <v>0</v>
      </c>
      <c r="AN81" s="10">
        <v>0</v>
      </c>
      <c r="AO81" s="10">
        <v>1</v>
      </c>
      <c r="AP81" s="10">
        <v>9</v>
      </c>
      <c r="AQ81" s="10">
        <v>0</v>
      </c>
      <c r="AR81" s="10">
        <v>0</v>
      </c>
      <c r="AS81" s="10">
        <v>1</v>
      </c>
      <c r="AT81" s="10">
        <v>2</v>
      </c>
      <c r="AU81" s="10">
        <v>2</v>
      </c>
      <c r="AV81" s="10">
        <v>1</v>
      </c>
      <c r="AW81" s="10">
        <v>0</v>
      </c>
      <c r="AX81" s="10">
        <v>3</v>
      </c>
      <c r="AY81" s="10">
        <v>4</v>
      </c>
      <c r="AZ81" s="10">
        <v>4</v>
      </c>
      <c r="BA81" s="10">
        <v>1</v>
      </c>
      <c r="BB81" s="10">
        <v>0</v>
      </c>
      <c r="BC81" s="10">
        <v>28</v>
      </c>
      <c r="BD81" s="10">
        <v>0</v>
      </c>
      <c r="BE81" s="10">
        <v>0</v>
      </c>
      <c r="BF81" s="10">
        <v>1</v>
      </c>
      <c r="BG81" s="10">
        <v>0</v>
      </c>
      <c r="BH81" s="10">
        <v>0</v>
      </c>
      <c r="BI81" s="10">
        <v>0</v>
      </c>
      <c r="BJ81" s="10">
        <v>1</v>
      </c>
      <c r="BK81" s="10">
        <v>0</v>
      </c>
      <c r="BL81" s="10">
        <v>0</v>
      </c>
      <c r="BM81" s="10">
        <v>0</v>
      </c>
      <c r="BN81" s="10">
        <v>0</v>
      </c>
      <c r="BO81" s="10">
        <v>4</v>
      </c>
      <c r="BP81" s="10">
        <v>0</v>
      </c>
      <c r="BQ81" s="10">
        <v>0</v>
      </c>
      <c r="BR81" s="10">
        <v>0</v>
      </c>
      <c r="BS81" s="10">
        <v>6</v>
      </c>
    </row>
    <row r="82" spans="1:71" x14ac:dyDescent="0.55000000000000004">
      <c r="A82" s="10">
        <v>673</v>
      </c>
      <c r="B82" s="10">
        <v>2022</v>
      </c>
      <c r="C82" s="10">
        <v>4174</v>
      </c>
      <c r="D82" s="10">
        <v>23457</v>
      </c>
      <c r="E82" s="10">
        <v>19619</v>
      </c>
      <c r="F82" s="10">
        <v>2459</v>
      </c>
      <c r="G82" s="10">
        <v>5657</v>
      </c>
      <c r="H82" s="10">
        <v>5293</v>
      </c>
      <c r="I82" s="10">
        <v>10220</v>
      </c>
      <c r="J82" s="10">
        <v>0</v>
      </c>
      <c r="K82" s="10">
        <v>0</v>
      </c>
      <c r="L82" s="10">
        <v>3126</v>
      </c>
      <c r="M82" s="10">
        <v>3468</v>
      </c>
      <c r="N82" s="10">
        <v>0</v>
      </c>
      <c r="O82" s="10">
        <v>6381</v>
      </c>
      <c r="P82" s="10">
        <v>7631</v>
      </c>
      <c r="Q82" s="10">
        <v>1811</v>
      </c>
      <c r="R82" s="10">
        <v>854</v>
      </c>
      <c r="S82" s="10">
        <v>54741</v>
      </c>
      <c r="T82" s="10">
        <v>39409</v>
      </c>
      <c r="U82" s="10">
        <v>17.997125059894586</v>
      </c>
      <c r="V82" s="10">
        <v>23.079805601739352</v>
      </c>
      <c r="W82" s="10">
        <v>35.000984528832632</v>
      </c>
      <c r="X82" s="10">
        <v>15.362709618227228</v>
      </c>
      <c r="Y82" s="10">
        <v>23.806832045546969</v>
      </c>
      <c r="Z82" s="10">
        <v>14.764539508573449</v>
      </c>
      <c r="AA82" s="10">
        <v>12.231437747969014</v>
      </c>
      <c r="AB82" s="10">
        <v>24.749119373776907</v>
      </c>
      <c r="AC82" s="10">
        <v>0</v>
      </c>
      <c r="AD82" s="10">
        <v>0</v>
      </c>
      <c r="AE82" s="10">
        <v>15.897312859884837</v>
      </c>
      <c r="AF82" s="10">
        <v>47.916089965397923</v>
      </c>
      <c r="AG82" s="10">
        <v>0</v>
      </c>
      <c r="AH82" s="10">
        <v>21.77746434728099</v>
      </c>
      <c r="AI82" s="10">
        <v>46.083082164853892</v>
      </c>
      <c r="AJ82" s="10">
        <v>55.063291139240505</v>
      </c>
      <c r="AK82" s="10">
        <v>22.316399779127554</v>
      </c>
      <c r="AL82" s="10">
        <v>31.377049180327866</v>
      </c>
      <c r="AM82" s="10">
        <v>0</v>
      </c>
      <c r="AN82" s="10">
        <v>1</v>
      </c>
      <c r="AO82" s="10">
        <v>2</v>
      </c>
      <c r="AP82" s="10">
        <v>6</v>
      </c>
      <c r="AQ82" s="10">
        <v>5</v>
      </c>
      <c r="AR82" s="10">
        <v>2</v>
      </c>
      <c r="AS82" s="10">
        <v>1</v>
      </c>
      <c r="AT82" s="10">
        <v>3</v>
      </c>
      <c r="AU82" s="10">
        <v>2</v>
      </c>
      <c r="AV82" s="10">
        <v>0</v>
      </c>
      <c r="AW82" s="10">
        <v>1</v>
      </c>
      <c r="AX82" s="10">
        <v>2</v>
      </c>
      <c r="AY82" s="10">
        <v>0</v>
      </c>
      <c r="AZ82" s="10">
        <v>2</v>
      </c>
      <c r="BA82" s="10">
        <v>1</v>
      </c>
      <c r="BB82" s="10">
        <v>0</v>
      </c>
      <c r="BC82" s="10">
        <v>28</v>
      </c>
      <c r="BD82" s="10">
        <v>2</v>
      </c>
      <c r="BE82" s="10">
        <v>0</v>
      </c>
      <c r="BF82" s="10">
        <v>9</v>
      </c>
      <c r="BG82" s="10">
        <v>10</v>
      </c>
      <c r="BH82" s="10">
        <v>1</v>
      </c>
      <c r="BI82" s="10">
        <v>2</v>
      </c>
      <c r="BJ82" s="10">
        <v>3</v>
      </c>
      <c r="BK82" s="10">
        <v>1</v>
      </c>
      <c r="BL82" s="10">
        <v>0</v>
      </c>
      <c r="BM82" s="10">
        <v>1</v>
      </c>
      <c r="BN82" s="10">
        <v>0</v>
      </c>
      <c r="BO82" s="10">
        <v>0</v>
      </c>
      <c r="BP82" s="10">
        <v>1</v>
      </c>
      <c r="BQ82" s="10">
        <v>0</v>
      </c>
      <c r="BR82" s="10">
        <v>1</v>
      </c>
      <c r="BS82" s="10">
        <v>31</v>
      </c>
    </row>
    <row r="83" spans="1:71" x14ac:dyDescent="0.55000000000000004">
      <c r="A83" s="10">
        <v>962</v>
      </c>
      <c r="B83" s="10">
        <v>2022</v>
      </c>
      <c r="C83" s="10">
        <v>5038</v>
      </c>
      <c r="D83" s="10">
        <v>23786</v>
      </c>
      <c r="E83" s="10">
        <v>12042</v>
      </c>
      <c r="F83" s="10">
        <v>3843</v>
      </c>
      <c r="G83" s="10">
        <v>4111</v>
      </c>
      <c r="H83" s="10">
        <v>1178</v>
      </c>
      <c r="I83" s="10">
        <v>11016</v>
      </c>
      <c r="J83" s="10">
        <v>0</v>
      </c>
      <c r="K83" s="10">
        <v>0</v>
      </c>
      <c r="L83" s="10">
        <v>551</v>
      </c>
      <c r="M83" s="10">
        <v>80</v>
      </c>
      <c r="N83" s="10">
        <v>0</v>
      </c>
      <c r="O83" s="10">
        <v>2611</v>
      </c>
      <c r="P83" s="10">
        <v>9317</v>
      </c>
      <c r="Q83" s="10">
        <v>1860</v>
      </c>
      <c r="R83" s="10">
        <v>5628</v>
      </c>
      <c r="S83" s="10">
        <v>57276</v>
      </c>
      <c r="T83" s="10">
        <v>23785</v>
      </c>
      <c r="U83" s="10">
        <v>20.633981738785234</v>
      </c>
      <c r="V83" s="10">
        <v>20.071512654502648</v>
      </c>
      <c r="W83" s="10">
        <v>0</v>
      </c>
      <c r="X83" s="10">
        <v>18.688091679123069</v>
      </c>
      <c r="Y83" s="10">
        <v>31.8823835545147</v>
      </c>
      <c r="Z83" s="10">
        <v>17.717100462174653</v>
      </c>
      <c r="AA83" s="10">
        <v>16.581494057724957</v>
      </c>
      <c r="AB83" s="10">
        <v>24.838870733478576</v>
      </c>
      <c r="AC83" s="10">
        <v>0</v>
      </c>
      <c r="AD83" s="10">
        <v>0</v>
      </c>
      <c r="AE83" s="10">
        <v>0</v>
      </c>
      <c r="AF83" s="10">
        <v>20.3</v>
      </c>
      <c r="AG83" s="10">
        <v>0</v>
      </c>
      <c r="AH83" s="10">
        <v>21.14668709306779</v>
      </c>
      <c r="AI83" s="10">
        <v>36.545025222711175</v>
      </c>
      <c r="AJ83" s="10">
        <v>0</v>
      </c>
      <c r="AK83" s="10">
        <v>21.478494623655916</v>
      </c>
      <c r="AL83" s="10">
        <v>21.320184790334043</v>
      </c>
      <c r="AM83" s="10">
        <v>0</v>
      </c>
      <c r="AN83" s="10">
        <v>2</v>
      </c>
      <c r="AO83" s="10">
        <v>1</v>
      </c>
      <c r="AP83" s="10">
        <v>6</v>
      </c>
      <c r="AQ83" s="10">
        <v>5</v>
      </c>
      <c r="AR83" s="10">
        <v>2</v>
      </c>
      <c r="AS83" s="10">
        <v>0</v>
      </c>
      <c r="AT83" s="10">
        <v>2</v>
      </c>
      <c r="AU83" s="10">
        <v>1</v>
      </c>
      <c r="AV83" s="10">
        <v>0</v>
      </c>
      <c r="AW83" s="10">
        <v>1</v>
      </c>
      <c r="AX83" s="10">
        <v>1</v>
      </c>
      <c r="AY83" s="10">
        <v>0</v>
      </c>
      <c r="AZ83" s="10">
        <v>5</v>
      </c>
      <c r="BA83" s="10">
        <v>1</v>
      </c>
      <c r="BB83" s="10">
        <v>4</v>
      </c>
      <c r="BC83" s="10">
        <v>31</v>
      </c>
      <c r="BD83" s="10">
        <v>1</v>
      </c>
      <c r="BE83" s="10">
        <v>0</v>
      </c>
      <c r="BF83" s="10">
        <v>3</v>
      </c>
      <c r="BG83" s="10">
        <v>6</v>
      </c>
      <c r="BH83" s="10">
        <v>1</v>
      </c>
      <c r="BI83" s="10">
        <v>1</v>
      </c>
      <c r="BJ83" s="10">
        <v>3</v>
      </c>
      <c r="BK83" s="10">
        <v>2</v>
      </c>
      <c r="BL83" s="10">
        <v>0</v>
      </c>
      <c r="BM83" s="10">
        <v>0</v>
      </c>
      <c r="BN83" s="10">
        <v>0</v>
      </c>
      <c r="BO83" s="10">
        <v>0</v>
      </c>
      <c r="BP83" s="10">
        <v>1</v>
      </c>
      <c r="BQ83" s="10">
        <v>0</v>
      </c>
      <c r="BR83" s="10">
        <v>1</v>
      </c>
      <c r="BS83" s="10">
        <v>19</v>
      </c>
    </row>
    <row r="84" spans="1:71" x14ac:dyDescent="0.55000000000000004">
      <c r="A84" s="10">
        <v>148</v>
      </c>
      <c r="B84" s="10">
        <v>2022</v>
      </c>
      <c r="C84" s="10">
        <v>1632</v>
      </c>
      <c r="D84" s="10">
        <v>23840</v>
      </c>
      <c r="E84" s="10">
        <v>11675</v>
      </c>
      <c r="F84" s="10">
        <v>5865</v>
      </c>
      <c r="G84" s="10">
        <v>0</v>
      </c>
      <c r="H84" s="10">
        <v>0</v>
      </c>
      <c r="I84" s="10">
        <v>6855</v>
      </c>
      <c r="J84" s="10">
        <v>139</v>
      </c>
      <c r="K84" s="10">
        <v>0</v>
      </c>
      <c r="L84" s="10">
        <v>3355</v>
      </c>
      <c r="M84" s="10">
        <v>44713</v>
      </c>
      <c r="N84" s="10">
        <v>0</v>
      </c>
      <c r="O84" s="10">
        <v>2347</v>
      </c>
      <c r="P84" s="10">
        <v>6207</v>
      </c>
      <c r="Q84" s="10">
        <v>3120</v>
      </c>
      <c r="R84" s="10">
        <v>3422</v>
      </c>
      <c r="S84" s="10">
        <v>93283</v>
      </c>
      <c r="T84" s="10">
        <v>19887</v>
      </c>
      <c r="U84" s="10">
        <v>21.9515931372549</v>
      </c>
      <c r="V84" s="10">
        <v>21.729194630872485</v>
      </c>
      <c r="W84" s="10">
        <v>33.438351968142136</v>
      </c>
      <c r="X84" s="10">
        <v>25.634432548179866</v>
      </c>
      <c r="Y84" s="10">
        <v>29.941858482523443</v>
      </c>
      <c r="Z84" s="10">
        <v>0</v>
      </c>
      <c r="AA84" s="10">
        <v>0</v>
      </c>
      <c r="AB84" s="10">
        <v>36.17315827862874</v>
      </c>
      <c r="AC84" s="10">
        <v>50.191780821917803</v>
      </c>
      <c r="AD84" s="10">
        <v>0</v>
      </c>
      <c r="AE84" s="10">
        <v>23.722801788375556</v>
      </c>
      <c r="AF84" s="10">
        <v>4.8249278733254313</v>
      </c>
      <c r="AG84" s="10">
        <v>0</v>
      </c>
      <c r="AH84" s="10">
        <v>24.855560289731574</v>
      </c>
      <c r="AI84" s="10">
        <v>40.456420170774933</v>
      </c>
      <c r="AJ84" s="10">
        <v>61.678456591639872</v>
      </c>
      <c r="AK84" s="10">
        <v>26.931730769230768</v>
      </c>
      <c r="AL84" s="10">
        <v>24.97019286966686</v>
      </c>
      <c r="AM84" s="10">
        <v>35.085173501577287</v>
      </c>
      <c r="AN84" s="10">
        <v>1</v>
      </c>
      <c r="AO84" s="10">
        <v>3</v>
      </c>
      <c r="AP84" s="10">
        <v>8</v>
      </c>
      <c r="AQ84" s="10">
        <v>2</v>
      </c>
      <c r="AR84" s="10">
        <v>0</v>
      </c>
      <c r="AS84" s="10">
        <v>0</v>
      </c>
      <c r="AT84" s="10">
        <v>3</v>
      </c>
      <c r="AU84" s="10">
        <v>1</v>
      </c>
      <c r="AV84" s="10">
        <v>0</v>
      </c>
      <c r="AW84" s="10">
        <v>2</v>
      </c>
      <c r="AX84" s="10">
        <v>0</v>
      </c>
      <c r="AY84" s="10">
        <v>0</v>
      </c>
      <c r="AZ84" s="10">
        <v>1</v>
      </c>
      <c r="BA84" s="10">
        <v>2</v>
      </c>
      <c r="BB84" s="10">
        <v>1</v>
      </c>
      <c r="BC84" s="10">
        <v>24</v>
      </c>
      <c r="BD84" s="10">
        <v>0</v>
      </c>
      <c r="BE84" s="10">
        <v>0</v>
      </c>
      <c r="BF84" s="10">
        <v>1</v>
      </c>
      <c r="BG84" s="10">
        <v>2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O84" s="10">
        <v>0</v>
      </c>
      <c r="BP84" s="10">
        <v>0</v>
      </c>
      <c r="BQ84" s="10">
        <v>0</v>
      </c>
      <c r="BR84" s="10">
        <v>0</v>
      </c>
      <c r="BS84" s="10">
        <v>3</v>
      </c>
    </row>
    <row r="85" spans="1:71" x14ac:dyDescent="0.55000000000000004">
      <c r="A85" s="10">
        <v>719</v>
      </c>
      <c r="B85" s="10">
        <v>2022</v>
      </c>
      <c r="C85" s="10">
        <v>3907</v>
      </c>
      <c r="D85" s="10">
        <v>23999</v>
      </c>
      <c r="E85" s="10">
        <v>9678</v>
      </c>
      <c r="F85" s="10">
        <v>5215</v>
      </c>
      <c r="G85" s="10">
        <v>5074</v>
      </c>
      <c r="H85" s="10">
        <v>1169</v>
      </c>
      <c r="I85" s="10">
        <v>5588</v>
      </c>
      <c r="J85" s="10">
        <v>0</v>
      </c>
      <c r="K85" s="10">
        <v>0</v>
      </c>
      <c r="L85" s="10">
        <v>2152</v>
      </c>
      <c r="M85" s="10">
        <v>4408</v>
      </c>
      <c r="N85" s="10">
        <v>2608</v>
      </c>
      <c r="O85" s="10">
        <v>3789</v>
      </c>
      <c r="P85" s="10">
        <v>4900</v>
      </c>
      <c r="Q85" s="10">
        <v>4804</v>
      </c>
      <c r="R85" s="10">
        <v>1196</v>
      </c>
      <c r="S85" s="10">
        <v>53562</v>
      </c>
      <c r="T85" s="10">
        <v>24925</v>
      </c>
      <c r="U85" s="10">
        <v>25.555925262349628</v>
      </c>
      <c r="V85" s="10">
        <v>26.999916663194298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33.92358625626342</v>
      </c>
      <c r="AC85" s="10">
        <v>49.942084942084939</v>
      </c>
      <c r="AD85" s="10">
        <v>0</v>
      </c>
      <c r="AE85" s="10">
        <v>23.801579925650557</v>
      </c>
      <c r="AF85" s="10">
        <v>51.090063520871148</v>
      </c>
      <c r="AG85" s="10">
        <v>26.286809815950917</v>
      </c>
      <c r="AH85" s="10">
        <v>0</v>
      </c>
      <c r="AI85" s="10">
        <v>52.555918367346941</v>
      </c>
      <c r="AJ85" s="10">
        <v>67.263720930232552</v>
      </c>
      <c r="AK85" s="10">
        <v>31.703164029975017</v>
      </c>
      <c r="AL85" s="10">
        <v>24.130434782608699</v>
      </c>
      <c r="AM85" s="10">
        <v>0</v>
      </c>
      <c r="AN85" s="10">
        <v>2</v>
      </c>
      <c r="AO85" s="10">
        <v>0</v>
      </c>
      <c r="AP85" s="10">
        <v>9</v>
      </c>
      <c r="AQ85" s="10">
        <v>0</v>
      </c>
      <c r="AR85" s="10">
        <v>0</v>
      </c>
      <c r="AS85" s="10">
        <v>0</v>
      </c>
      <c r="AT85" s="10">
        <v>2</v>
      </c>
      <c r="AU85" s="10">
        <v>0</v>
      </c>
      <c r="AV85" s="10">
        <v>0</v>
      </c>
      <c r="AW85" s="10">
        <v>1</v>
      </c>
      <c r="AX85" s="10">
        <v>2</v>
      </c>
      <c r="AY85" s="10">
        <v>0</v>
      </c>
      <c r="AZ85" s="10">
        <v>3</v>
      </c>
      <c r="BA85" s="10">
        <v>2</v>
      </c>
      <c r="BB85" s="10">
        <v>0</v>
      </c>
      <c r="BC85" s="10">
        <v>21</v>
      </c>
      <c r="BD85" s="10">
        <v>0</v>
      </c>
      <c r="BE85" s="10">
        <v>0</v>
      </c>
      <c r="BF85" s="10">
        <v>7</v>
      </c>
      <c r="BG85" s="10">
        <v>0</v>
      </c>
      <c r="BH85" s="10">
        <v>0</v>
      </c>
      <c r="BI85" s="10">
        <v>0</v>
      </c>
      <c r="BJ85" s="10">
        <v>0</v>
      </c>
      <c r="BK85" s="10">
        <v>0</v>
      </c>
      <c r="BL85" s="10">
        <v>0</v>
      </c>
      <c r="BM85" s="10">
        <v>0</v>
      </c>
      <c r="BN85" s="10">
        <v>0</v>
      </c>
      <c r="BO85" s="10">
        <v>3</v>
      </c>
      <c r="BP85" s="10">
        <v>1</v>
      </c>
      <c r="BQ85" s="10">
        <v>0</v>
      </c>
      <c r="BR85" s="10">
        <v>0</v>
      </c>
      <c r="BS85" s="10">
        <v>11</v>
      </c>
    </row>
    <row r="86" spans="1:71" x14ac:dyDescent="0.55000000000000004">
      <c r="A86" s="10">
        <v>114</v>
      </c>
      <c r="B86" s="10">
        <v>2022</v>
      </c>
      <c r="C86" s="10">
        <v>3740</v>
      </c>
      <c r="D86" s="10">
        <v>24025</v>
      </c>
      <c r="E86" s="10">
        <v>0</v>
      </c>
      <c r="F86" s="10">
        <v>5879</v>
      </c>
      <c r="G86" s="10">
        <v>6297</v>
      </c>
      <c r="H86" s="10">
        <v>261</v>
      </c>
      <c r="I86" s="10">
        <v>7603</v>
      </c>
      <c r="J86" s="10">
        <v>400</v>
      </c>
      <c r="K86" s="10">
        <v>0</v>
      </c>
      <c r="L86" s="10">
        <v>2902</v>
      </c>
      <c r="M86" s="10">
        <v>7483</v>
      </c>
      <c r="N86" s="10">
        <v>1541</v>
      </c>
      <c r="O86" s="10">
        <v>6695</v>
      </c>
      <c r="P86" s="10">
        <v>6599</v>
      </c>
      <c r="Q86" s="10">
        <v>2032</v>
      </c>
      <c r="R86" s="10">
        <v>2630</v>
      </c>
      <c r="S86" s="10">
        <v>58955</v>
      </c>
      <c r="T86" s="10">
        <v>19132</v>
      </c>
      <c r="U86" s="10">
        <v>22.816310160427808</v>
      </c>
      <c r="V86" s="10">
        <v>26.871508844953176</v>
      </c>
      <c r="W86" s="10">
        <v>14.109237297356108</v>
      </c>
      <c r="X86" s="10">
        <v>0</v>
      </c>
      <c r="Y86" s="10">
        <v>41.302432386460275</v>
      </c>
      <c r="Z86" s="10">
        <v>19.674130538351594</v>
      </c>
      <c r="AA86" s="10">
        <v>17.157088122605362</v>
      </c>
      <c r="AB86" s="10">
        <v>36.570564250953566</v>
      </c>
      <c r="AC86" s="10">
        <v>50.609022556390975</v>
      </c>
      <c r="AD86" s="10">
        <v>0</v>
      </c>
      <c r="AE86" s="10">
        <v>21.158855961405926</v>
      </c>
      <c r="AF86" s="10">
        <v>43.119738072965383</v>
      </c>
      <c r="AG86" s="10">
        <v>27.606748864373785</v>
      </c>
      <c r="AH86" s="10">
        <v>20.934876773711725</v>
      </c>
      <c r="AI86" s="10">
        <v>42.118805879678739</v>
      </c>
      <c r="AJ86" s="10">
        <v>20.210307564422276</v>
      </c>
      <c r="AK86" s="10">
        <v>27.514763779527556</v>
      </c>
      <c r="AL86" s="10">
        <v>29.276045627376426</v>
      </c>
      <c r="AM86" s="10">
        <v>0</v>
      </c>
      <c r="AN86" s="10">
        <v>2</v>
      </c>
      <c r="AO86" s="10">
        <v>3</v>
      </c>
      <c r="AP86" s="10">
        <v>8</v>
      </c>
      <c r="AQ86" s="10">
        <v>0</v>
      </c>
      <c r="AR86" s="10">
        <v>1</v>
      </c>
      <c r="AS86" s="10">
        <v>0</v>
      </c>
      <c r="AT86" s="10">
        <v>1</v>
      </c>
      <c r="AU86" s="10">
        <v>4</v>
      </c>
      <c r="AV86" s="10">
        <v>0</v>
      </c>
      <c r="AW86" s="10">
        <v>2</v>
      </c>
      <c r="AX86" s="10">
        <v>3</v>
      </c>
      <c r="AY86" s="10">
        <v>2</v>
      </c>
      <c r="AZ86" s="10">
        <v>4</v>
      </c>
      <c r="BA86" s="10">
        <v>1</v>
      </c>
      <c r="BB86" s="10">
        <v>1</v>
      </c>
      <c r="BC86" s="10">
        <v>32</v>
      </c>
      <c r="BD86" s="10">
        <v>0</v>
      </c>
      <c r="BE86" s="10">
        <v>0</v>
      </c>
      <c r="BF86" s="10">
        <v>2</v>
      </c>
      <c r="BG86" s="10">
        <v>0</v>
      </c>
      <c r="BH86" s="10">
        <v>0</v>
      </c>
      <c r="BI86" s="10">
        <v>0</v>
      </c>
      <c r="BJ86" s="10">
        <v>1</v>
      </c>
      <c r="BK86" s="10">
        <v>0</v>
      </c>
      <c r="BL86" s="10">
        <v>0</v>
      </c>
      <c r="BM86" s="10">
        <v>0</v>
      </c>
      <c r="BN86" s="10">
        <v>0</v>
      </c>
      <c r="BO86" s="10">
        <v>0</v>
      </c>
      <c r="BP86" s="10">
        <v>0</v>
      </c>
      <c r="BQ86" s="10">
        <v>0</v>
      </c>
      <c r="BR86" s="10">
        <v>0</v>
      </c>
      <c r="BS86" s="10">
        <v>3</v>
      </c>
    </row>
    <row r="87" spans="1:71" x14ac:dyDescent="0.55000000000000004">
      <c r="A87" s="10">
        <v>740</v>
      </c>
      <c r="B87" s="10">
        <v>2022</v>
      </c>
      <c r="C87" s="10">
        <v>9776</v>
      </c>
      <c r="D87" s="10">
        <v>24070</v>
      </c>
      <c r="E87" s="10">
        <v>0</v>
      </c>
      <c r="F87" s="10">
        <v>889</v>
      </c>
      <c r="G87" s="10">
        <v>0</v>
      </c>
      <c r="H87" s="10">
        <v>0</v>
      </c>
      <c r="I87" s="10">
        <v>15966</v>
      </c>
      <c r="J87" s="10">
        <v>324</v>
      </c>
      <c r="K87" s="10">
        <v>0</v>
      </c>
      <c r="L87" s="10">
        <v>0</v>
      </c>
      <c r="M87" s="10">
        <v>3785</v>
      </c>
      <c r="N87" s="10">
        <v>1367</v>
      </c>
      <c r="O87" s="10">
        <v>0</v>
      </c>
      <c r="P87" s="10">
        <v>6498</v>
      </c>
      <c r="Q87" s="10">
        <v>1862</v>
      </c>
      <c r="R87" s="10">
        <v>0</v>
      </c>
      <c r="S87" s="10">
        <v>63648</v>
      </c>
      <c r="T87" s="10">
        <v>889</v>
      </c>
      <c r="U87" s="10">
        <v>15.975040916530279</v>
      </c>
      <c r="V87" s="10">
        <v>22.237224761113417</v>
      </c>
      <c r="W87" s="10">
        <v>34.596323344245782</v>
      </c>
      <c r="X87" s="10">
        <v>0</v>
      </c>
      <c r="Y87" s="10">
        <v>22.881889763779526</v>
      </c>
      <c r="Z87" s="10">
        <v>0</v>
      </c>
      <c r="AA87" s="10">
        <v>0</v>
      </c>
      <c r="AB87" s="10">
        <v>30.516910935738444</v>
      </c>
      <c r="AC87" s="10">
        <v>50.739071956960323</v>
      </c>
      <c r="AD87" s="10">
        <v>0</v>
      </c>
      <c r="AE87" s="10">
        <v>0</v>
      </c>
      <c r="AF87" s="10">
        <v>44.238044914134747</v>
      </c>
      <c r="AG87" s="10">
        <v>22.399414776883688</v>
      </c>
      <c r="AH87" s="10">
        <v>0</v>
      </c>
      <c r="AI87" s="10">
        <v>36.581101877500771</v>
      </c>
      <c r="AJ87" s="10">
        <v>62.351111111111109</v>
      </c>
      <c r="AK87" s="10">
        <v>26.052094522019335</v>
      </c>
      <c r="AL87" s="10">
        <v>0</v>
      </c>
      <c r="AM87" s="10">
        <v>0</v>
      </c>
      <c r="AN87" s="10">
        <v>2</v>
      </c>
      <c r="AO87" s="10">
        <v>0</v>
      </c>
      <c r="AP87" s="10">
        <v>5</v>
      </c>
      <c r="AQ87" s="10">
        <v>0</v>
      </c>
      <c r="AR87" s="10">
        <v>0</v>
      </c>
      <c r="AS87" s="10">
        <v>0</v>
      </c>
      <c r="AT87" s="10">
        <v>6</v>
      </c>
      <c r="AU87" s="10">
        <v>0</v>
      </c>
      <c r="AV87" s="10">
        <v>0</v>
      </c>
      <c r="AW87" s="10">
        <v>0</v>
      </c>
      <c r="AX87" s="10">
        <v>2</v>
      </c>
      <c r="AY87" s="10">
        <v>1</v>
      </c>
      <c r="AZ87" s="10">
        <v>1</v>
      </c>
      <c r="BA87" s="10">
        <v>1</v>
      </c>
      <c r="BB87" s="10">
        <v>0</v>
      </c>
      <c r="BC87" s="10">
        <v>18</v>
      </c>
      <c r="BD87" s="10">
        <v>2</v>
      </c>
      <c r="BE87" s="10">
        <v>0</v>
      </c>
      <c r="BF87" s="10">
        <v>8</v>
      </c>
      <c r="BG87" s="10">
        <v>0</v>
      </c>
      <c r="BH87" s="10">
        <v>0</v>
      </c>
      <c r="BI87" s="10">
        <v>0</v>
      </c>
      <c r="BJ87" s="10">
        <v>1</v>
      </c>
      <c r="BK87" s="10">
        <v>0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0</v>
      </c>
      <c r="BS87" s="10">
        <v>11</v>
      </c>
    </row>
    <row r="88" spans="1:71" x14ac:dyDescent="0.55000000000000004">
      <c r="A88" s="10">
        <v>396</v>
      </c>
      <c r="B88" s="10">
        <v>2022</v>
      </c>
      <c r="C88" s="10">
        <v>6224</v>
      </c>
      <c r="D88" s="10">
        <v>24132</v>
      </c>
      <c r="E88" s="10">
        <v>17479</v>
      </c>
      <c r="F88" s="10">
        <v>4230</v>
      </c>
      <c r="G88" s="10">
        <v>2680</v>
      </c>
      <c r="H88" s="10">
        <v>4335</v>
      </c>
      <c r="I88" s="10">
        <v>9157</v>
      </c>
      <c r="J88" s="10">
        <v>0</v>
      </c>
      <c r="K88" s="10">
        <v>0</v>
      </c>
      <c r="L88" s="10">
        <v>1762</v>
      </c>
      <c r="M88" s="10">
        <v>4492</v>
      </c>
      <c r="N88" s="10">
        <v>0</v>
      </c>
      <c r="O88" s="10">
        <v>1447</v>
      </c>
      <c r="P88" s="10">
        <v>4930</v>
      </c>
      <c r="Q88" s="10">
        <v>0</v>
      </c>
      <c r="R88" s="10">
        <v>5226</v>
      </c>
      <c r="S88" s="10">
        <v>55923</v>
      </c>
      <c r="T88" s="10">
        <v>30171</v>
      </c>
      <c r="U88" s="10">
        <v>18.458708226221081</v>
      </c>
      <c r="V88" s="10">
        <v>19.396651748715399</v>
      </c>
      <c r="W88" s="10">
        <v>0</v>
      </c>
      <c r="X88" s="10">
        <v>15.716745809256823</v>
      </c>
      <c r="Y88" s="10">
        <v>35.30756501182033</v>
      </c>
      <c r="Z88" s="10">
        <v>18.732462686567164</v>
      </c>
      <c r="AA88" s="10">
        <v>15.87035755478662</v>
      </c>
      <c r="AB88" s="10">
        <v>32.870153980561319</v>
      </c>
      <c r="AC88" s="10">
        <v>0</v>
      </c>
      <c r="AD88" s="10">
        <v>0</v>
      </c>
      <c r="AE88" s="10">
        <v>0</v>
      </c>
      <c r="AF88" s="10">
        <v>40.420525378450577</v>
      </c>
      <c r="AG88" s="10">
        <v>0</v>
      </c>
      <c r="AH88" s="10">
        <v>27.727712508638561</v>
      </c>
      <c r="AI88" s="10">
        <v>42.827586206896548</v>
      </c>
      <c r="AJ88" s="10">
        <v>0</v>
      </c>
      <c r="AK88" s="10">
        <v>0</v>
      </c>
      <c r="AL88" s="10">
        <v>22.59012629161883</v>
      </c>
      <c r="AM88" s="10">
        <v>0</v>
      </c>
      <c r="AN88" s="10">
        <v>2</v>
      </c>
      <c r="AO88" s="10">
        <v>2</v>
      </c>
      <c r="AP88" s="10">
        <v>9</v>
      </c>
      <c r="AQ88" s="10">
        <v>7</v>
      </c>
      <c r="AR88" s="10">
        <v>1</v>
      </c>
      <c r="AS88" s="10">
        <v>1</v>
      </c>
      <c r="AT88" s="10">
        <v>5</v>
      </c>
      <c r="AU88" s="10">
        <v>1</v>
      </c>
      <c r="AV88" s="10">
        <v>0</v>
      </c>
      <c r="AW88" s="10">
        <v>1</v>
      </c>
      <c r="AX88" s="10">
        <v>2</v>
      </c>
      <c r="AY88" s="10">
        <v>0</v>
      </c>
      <c r="AZ88" s="10">
        <v>2</v>
      </c>
      <c r="BA88" s="10">
        <v>0</v>
      </c>
      <c r="BB88" s="10">
        <v>2</v>
      </c>
      <c r="BC88" s="10">
        <v>35</v>
      </c>
      <c r="BD88" s="10">
        <v>5</v>
      </c>
      <c r="BE88" s="10">
        <v>0</v>
      </c>
      <c r="BF88" s="10">
        <v>13</v>
      </c>
      <c r="BG88" s="10">
        <v>8</v>
      </c>
      <c r="BH88" s="10">
        <v>0</v>
      </c>
      <c r="BI88" s="10">
        <v>1</v>
      </c>
      <c r="BJ88" s="10">
        <v>1</v>
      </c>
      <c r="BK88" s="10">
        <v>0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0</v>
      </c>
      <c r="BS88" s="10">
        <v>28</v>
      </c>
    </row>
    <row r="89" spans="1:71" x14ac:dyDescent="0.55000000000000004">
      <c r="A89" s="10">
        <v>143</v>
      </c>
      <c r="B89" s="10">
        <v>2022</v>
      </c>
      <c r="C89" s="10">
        <v>6212</v>
      </c>
      <c r="D89" s="10">
        <v>24576</v>
      </c>
      <c r="E89" s="10">
        <v>14042</v>
      </c>
      <c r="F89" s="10">
        <v>10326</v>
      </c>
      <c r="G89" s="10">
        <v>6150</v>
      </c>
      <c r="H89" s="10">
        <v>2672</v>
      </c>
      <c r="I89" s="10">
        <v>3491</v>
      </c>
      <c r="J89" s="10">
        <v>0</v>
      </c>
      <c r="K89" s="10">
        <v>0</v>
      </c>
      <c r="L89" s="10">
        <v>0</v>
      </c>
      <c r="M89" s="10">
        <v>6310</v>
      </c>
      <c r="N89" s="10">
        <v>0</v>
      </c>
      <c r="O89" s="10">
        <v>3808</v>
      </c>
      <c r="P89" s="10">
        <v>3465</v>
      </c>
      <c r="Q89" s="10">
        <v>1548</v>
      </c>
      <c r="R89" s="10">
        <v>6857</v>
      </c>
      <c r="S89" s="10">
        <v>52459</v>
      </c>
      <c r="T89" s="10">
        <v>36998</v>
      </c>
      <c r="U89" s="10">
        <v>16.817450096587251</v>
      </c>
      <c r="V89" s="10">
        <v>18.866861979166668</v>
      </c>
      <c r="W89" s="10">
        <v>32.488617955494924</v>
      </c>
      <c r="X89" s="10">
        <v>0</v>
      </c>
      <c r="Y89" s="10">
        <v>0</v>
      </c>
      <c r="Z89" s="10">
        <v>15.226829268292683</v>
      </c>
      <c r="AA89" s="10">
        <v>0</v>
      </c>
      <c r="AB89" s="10">
        <v>26.290174735032945</v>
      </c>
      <c r="AC89" s="10">
        <v>47.27416173570019</v>
      </c>
      <c r="AD89" s="10">
        <v>0</v>
      </c>
      <c r="AE89" s="10">
        <v>0</v>
      </c>
      <c r="AF89" s="10">
        <v>39.434706814580032</v>
      </c>
      <c r="AG89" s="10">
        <v>0</v>
      </c>
      <c r="AH89" s="10">
        <v>0</v>
      </c>
      <c r="AI89" s="10">
        <v>38.878499278499277</v>
      </c>
      <c r="AJ89" s="10">
        <v>61.793383947939262</v>
      </c>
      <c r="AK89" s="10">
        <v>24.348837209302324</v>
      </c>
      <c r="AL89" s="10">
        <v>20.98235379903748</v>
      </c>
      <c r="AM89" s="10">
        <v>37.987096774193546</v>
      </c>
      <c r="AN89" s="10">
        <v>3</v>
      </c>
      <c r="AO89" s="10">
        <v>7</v>
      </c>
      <c r="AP89" s="10">
        <v>8</v>
      </c>
      <c r="AQ89" s="10">
        <v>9</v>
      </c>
      <c r="AR89" s="10">
        <v>4</v>
      </c>
      <c r="AS89" s="10">
        <v>1</v>
      </c>
      <c r="AT89" s="10">
        <v>3</v>
      </c>
      <c r="AU89" s="10">
        <v>4</v>
      </c>
      <c r="AV89" s="10">
        <v>0</v>
      </c>
      <c r="AW89" s="10">
        <v>0</v>
      </c>
      <c r="AX89" s="10">
        <v>3</v>
      </c>
      <c r="AY89" s="10">
        <v>0</v>
      </c>
      <c r="AZ89" s="10">
        <v>2</v>
      </c>
      <c r="BA89" s="10">
        <v>1</v>
      </c>
      <c r="BB89" s="10">
        <v>2</v>
      </c>
      <c r="BC89" s="10">
        <v>47</v>
      </c>
      <c r="BD89" s="10">
        <v>2</v>
      </c>
      <c r="BE89" s="10">
        <v>0</v>
      </c>
      <c r="BF89" s="10">
        <v>5</v>
      </c>
      <c r="BG89" s="10">
        <v>4</v>
      </c>
      <c r="BH89" s="10">
        <v>0</v>
      </c>
      <c r="BI89" s="10">
        <v>1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O89" s="10">
        <v>0</v>
      </c>
      <c r="BP89" s="10">
        <v>0</v>
      </c>
      <c r="BQ89" s="10">
        <v>0</v>
      </c>
      <c r="BR89" s="10">
        <v>1</v>
      </c>
      <c r="BS89" s="10">
        <v>13</v>
      </c>
    </row>
    <row r="90" spans="1:71" x14ac:dyDescent="0.55000000000000004">
      <c r="A90" s="10">
        <v>505</v>
      </c>
      <c r="B90" s="10">
        <v>2022</v>
      </c>
      <c r="C90" s="10">
        <v>2928</v>
      </c>
      <c r="D90" s="10">
        <v>24965</v>
      </c>
      <c r="E90" s="10">
        <v>13790</v>
      </c>
      <c r="F90" s="10">
        <v>966</v>
      </c>
      <c r="G90" s="10">
        <v>4220</v>
      </c>
      <c r="H90" s="10">
        <v>3071</v>
      </c>
      <c r="I90" s="10">
        <v>4245</v>
      </c>
      <c r="J90" s="10">
        <v>0</v>
      </c>
      <c r="K90" s="10">
        <v>0</v>
      </c>
      <c r="L90" s="10">
        <v>1662</v>
      </c>
      <c r="M90" s="10">
        <v>2150</v>
      </c>
      <c r="N90" s="10">
        <v>0</v>
      </c>
      <c r="O90" s="10">
        <v>3387</v>
      </c>
      <c r="P90" s="10">
        <v>8669</v>
      </c>
      <c r="Q90" s="10">
        <v>1783</v>
      </c>
      <c r="R90" s="10">
        <v>2035</v>
      </c>
      <c r="S90" s="10">
        <v>48437</v>
      </c>
      <c r="T90" s="10">
        <v>25434</v>
      </c>
      <c r="U90" s="10">
        <v>23.359631147540984</v>
      </c>
      <c r="V90" s="10">
        <v>24.588744241938713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22.969846878680798</v>
      </c>
      <c r="AC90" s="10">
        <v>0</v>
      </c>
      <c r="AD90" s="10">
        <v>0</v>
      </c>
      <c r="AE90" s="10">
        <v>0</v>
      </c>
      <c r="AF90" s="10">
        <v>62.552093023255814</v>
      </c>
      <c r="AG90" s="10">
        <v>0</v>
      </c>
      <c r="AH90" s="10">
        <v>0</v>
      </c>
      <c r="AI90" s="10">
        <v>47.237051563040716</v>
      </c>
      <c r="AJ90" s="10">
        <v>0</v>
      </c>
      <c r="AK90" s="10">
        <v>25.122826696578802</v>
      </c>
      <c r="AL90" s="10">
        <v>24.873710073710072</v>
      </c>
      <c r="AM90" s="10">
        <v>0</v>
      </c>
      <c r="AN90" s="10">
        <v>2</v>
      </c>
      <c r="AO90" s="10">
        <v>0</v>
      </c>
      <c r="AP90" s="10">
        <v>9</v>
      </c>
      <c r="AQ90" s="10">
        <v>0</v>
      </c>
      <c r="AR90" s="10">
        <v>0</v>
      </c>
      <c r="AS90" s="10">
        <v>0</v>
      </c>
      <c r="AT90" s="10">
        <v>2</v>
      </c>
      <c r="AU90" s="10">
        <v>0</v>
      </c>
      <c r="AV90" s="10">
        <v>0</v>
      </c>
      <c r="AW90" s="10">
        <v>0</v>
      </c>
      <c r="AX90" s="10">
        <v>1</v>
      </c>
      <c r="AY90" s="10">
        <v>0</v>
      </c>
      <c r="AZ90" s="10">
        <v>5</v>
      </c>
      <c r="BA90" s="10">
        <v>1</v>
      </c>
      <c r="BB90" s="10">
        <v>1</v>
      </c>
      <c r="BC90" s="10">
        <v>21</v>
      </c>
      <c r="BD90" s="10">
        <v>0</v>
      </c>
      <c r="BE90" s="10">
        <v>0</v>
      </c>
      <c r="BF90" s="10">
        <v>3</v>
      </c>
      <c r="BG90" s="10">
        <v>0</v>
      </c>
      <c r="BH90" s="10">
        <v>0</v>
      </c>
      <c r="BI90" s="10">
        <v>0</v>
      </c>
      <c r="BJ90" s="10">
        <v>0</v>
      </c>
      <c r="BK90" s="10">
        <v>0</v>
      </c>
      <c r="BL90" s="10">
        <v>0</v>
      </c>
      <c r="BM90" s="10">
        <v>1</v>
      </c>
      <c r="BN90" s="10">
        <v>2</v>
      </c>
      <c r="BO90" s="10">
        <v>0</v>
      </c>
      <c r="BP90" s="10">
        <v>0</v>
      </c>
      <c r="BQ90" s="10">
        <v>0</v>
      </c>
      <c r="BR90" s="10">
        <v>0</v>
      </c>
      <c r="BS90" s="10">
        <v>6</v>
      </c>
    </row>
    <row r="91" spans="1:71" x14ac:dyDescent="0.55000000000000004">
      <c r="A91" s="10">
        <v>986</v>
      </c>
      <c r="B91" s="10">
        <v>2022</v>
      </c>
      <c r="C91" s="10">
        <v>5151</v>
      </c>
      <c r="D91" s="10">
        <v>25077</v>
      </c>
      <c r="E91" s="10">
        <v>12115</v>
      </c>
      <c r="F91" s="10">
        <v>5691</v>
      </c>
      <c r="G91" s="10">
        <v>8167</v>
      </c>
      <c r="H91" s="10">
        <v>2168</v>
      </c>
      <c r="I91" s="10">
        <v>12320</v>
      </c>
      <c r="J91" s="10">
        <v>0</v>
      </c>
      <c r="K91" s="10">
        <v>0</v>
      </c>
      <c r="L91" s="10">
        <v>2386</v>
      </c>
      <c r="M91" s="10">
        <v>6262</v>
      </c>
      <c r="N91" s="10">
        <v>0</v>
      </c>
      <c r="O91" s="10">
        <v>2258</v>
      </c>
      <c r="P91" s="10">
        <v>3429</v>
      </c>
      <c r="Q91" s="10">
        <v>1949</v>
      </c>
      <c r="R91" s="10">
        <v>652</v>
      </c>
      <c r="S91" s="10">
        <v>57226</v>
      </c>
      <c r="T91" s="10">
        <v>30399</v>
      </c>
      <c r="U91" s="10">
        <v>18.14851485148515</v>
      </c>
      <c r="V91" s="10">
        <v>24.689675798540495</v>
      </c>
      <c r="W91" s="10">
        <v>34.157203190990145</v>
      </c>
      <c r="X91" s="10">
        <v>18.298472967395792</v>
      </c>
      <c r="Y91" s="10">
        <v>28.344052011948691</v>
      </c>
      <c r="Z91" s="10">
        <v>15.943063548426593</v>
      </c>
      <c r="AA91" s="10">
        <v>15.261531365313653</v>
      </c>
      <c r="AB91" s="10">
        <v>27.143019480519481</v>
      </c>
      <c r="AC91" s="10">
        <v>50.864864864864863</v>
      </c>
      <c r="AD91" s="10">
        <v>0</v>
      </c>
      <c r="AE91" s="10">
        <v>21.531433361274097</v>
      </c>
      <c r="AF91" s="10">
        <v>45.122165442350685</v>
      </c>
      <c r="AG91" s="10">
        <v>0</v>
      </c>
      <c r="AH91" s="10">
        <v>24.807351638618247</v>
      </c>
      <c r="AI91" s="10">
        <v>39.147564887722361</v>
      </c>
      <c r="AJ91" s="10">
        <v>63.14968152866242</v>
      </c>
      <c r="AK91" s="10">
        <v>32.791174961518728</v>
      </c>
      <c r="AL91" s="10">
        <v>16.513803680981596</v>
      </c>
      <c r="AM91" s="10">
        <v>0</v>
      </c>
      <c r="AN91" s="10">
        <v>2</v>
      </c>
      <c r="AO91" s="10">
        <v>2</v>
      </c>
      <c r="AP91" s="10">
        <v>5</v>
      </c>
      <c r="AQ91" s="10">
        <v>2</v>
      </c>
      <c r="AR91" s="10">
        <v>4</v>
      </c>
      <c r="AS91" s="10">
        <v>1</v>
      </c>
      <c r="AT91" s="10">
        <v>4</v>
      </c>
      <c r="AU91" s="10">
        <v>1</v>
      </c>
      <c r="AV91" s="10">
        <v>0</v>
      </c>
      <c r="AW91" s="10">
        <v>1</v>
      </c>
      <c r="AX91" s="10">
        <v>3</v>
      </c>
      <c r="AY91" s="10">
        <v>0</v>
      </c>
      <c r="AZ91" s="10">
        <v>1</v>
      </c>
      <c r="BA91" s="10">
        <v>1</v>
      </c>
      <c r="BB91" s="10">
        <v>0</v>
      </c>
      <c r="BC91" s="10">
        <v>27</v>
      </c>
      <c r="BD91" s="10">
        <v>1</v>
      </c>
      <c r="BE91" s="10">
        <v>1</v>
      </c>
      <c r="BF91" s="10">
        <v>8</v>
      </c>
      <c r="BG91" s="10">
        <v>1</v>
      </c>
      <c r="BH91" s="10">
        <v>0</v>
      </c>
      <c r="BI91" s="10">
        <v>0</v>
      </c>
      <c r="BJ91" s="10">
        <v>3</v>
      </c>
      <c r="BK91" s="10">
        <v>0</v>
      </c>
      <c r="BL91" s="10">
        <v>0</v>
      </c>
      <c r="BM91" s="10">
        <v>0</v>
      </c>
      <c r="BN91" s="10">
        <v>0</v>
      </c>
      <c r="BO91" s="10">
        <v>0</v>
      </c>
      <c r="BP91" s="10">
        <v>2</v>
      </c>
      <c r="BQ91" s="10">
        <v>0</v>
      </c>
      <c r="BR91" s="10">
        <v>1</v>
      </c>
      <c r="BS91" s="10">
        <v>17</v>
      </c>
    </row>
    <row r="92" spans="1:71" x14ac:dyDescent="0.55000000000000004">
      <c r="A92" s="10">
        <v>421</v>
      </c>
      <c r="B92" s="10">
        <v>2022</v>
      </c>
      <c r="C92" s="10">
        <v>8658</v>
      </c>
      <c r="D92" s="10">
        <v>25177</v>
      </c>
      <c r="E92" s="10">
        <v>16853</v>
      </c>
      <c r="F92" s="10">
        <v>7075</v>
      </c>
      <c r="G92" s="10">
        <v>5795</v>
      </c>
      <c r="H92" s="10">
        <v>2572</v>
      </c>
      <c r="I92" s="10">
        <v>10813</v>
      </c>
      <c r="J92" s="10">
        <v>0</v>
      </c>
      <c r="K92" s="10">
        <v>0</v>
      </c>
      <c r="L92" s="10">
        <v>2037</v>
      </c>
      <c r="M92" s="10">
        <v>2080</v>
      </c>
      <c r="N92" s="10">
        <v>0</v>
      </c>
      <c r="O92" s="10">
        <v>2807</v>
      </c>
      <c r="P92" s="10">
        <v>11047</v>
      </c>
      <c r="Q92" s="10">
        <v>2095</v>
      </c>
      <c r="R92" s="10">
        <v>1885</v>
      </c>
      <c r="S92" s="10">
        <v>63792</v>
      </c>
      <c r="T92" s="10">
        <v>35102</v>
      </c>
      <c r="U92" s="10">
        <v>13.74000924000924</v>
      </c>
      <c r="V92" s="10">
        <v>19.227469515827938</v>
      </c>
      <c r="W92" s="10">
        <v>35.653733031674207</v>
      </c>
      <c r="X92" s="10">
        <v>9.9911588441227064</v>
      </c>
      <c r="Y92" s="10">
        <v>29.178939929328624</v>
      </c>
      <c r="Z92" s="10">
        <v>15.745642795513374</v>
      </c>
      <c r="AA92" s="10">
        <v>19.430015552099533</v>
      </c>
      <c r="AB92" s="10">
        <v>25.744936650328309</v>
      </c>
      <c r="AC92" s="10">
        <v>49.653846153846153</v>
      </c>
      <c r="AD92" s="10">
        <v>0</v>
      </c>
      <c r="AE92" s="10">
        <v>19.005891016200295</v>
      </c>
      <c r="AF92" s="10">
        <v>38.261538461538464</v>
      </c>
      <c r="AG92" s="10">
        <v>0</v>
      </c>
      <c r="AH92" s="10">
        <v>22.05450659066619</v>
      </c>
      <c r="AI92" s="10">
        <v>37.190821037385717</v>
      </c>
      <c r="AJ92" s="10">
        <v>34.671052631578945</v>
      </c>
      <c r="AK92" s="10">
        <v>24.042959427207638</v>
      </c>
      <c r="AL92" s="10">
        <v>21.879575596816977</v>
      </c>
      <c r="AM92" s="10">
        <v>0</v>
      </c>
      <c r="AN92" s="10">
        <v>2</v>
      </c>
      <c r="AO92" s="10">
        <v>3</v>
      </c>
      <c r="AP92" s="10">
        <v>3</v>
      </c>
      <c r="AQ92" s="10">
        <v>3</v>
      </c>
      <c r="AR92" s="10">
        <v>3</v>
      </c>
      <c r="AS92" s="10">
        <v>1</v>
      </c>
      <c r="AT92" s="10">
        <v>4</v>
      </c>
      <c r="AU92" s="10">
        <v>2</v>
      </c>
      <c r="AV92" s="10">
        <v>0</v>
      </c>
      <c r="AW92" s="10">
        <v>0</v>
      </c>
      <c r="AX92" s="10">
        <v>2</v>
      </c>
      <c r="AY92" s="10">
        <v>0</v>
      </c>
      <c r="AZ92" s="10">
        <v>4</v>
      </c>
      <c r="BA92" s="10">
        <v>1</v>
      </c>
      <c r="BB92" s="10">
        <v>1</v>
      </c>
      <c r="BC92" s="10">
        <v>29</v>
      </c>
      <c r="BD92" s="10">
        <v>1</v>
      </c>
      <c r="BE92" s="10">
        <v>0</v>
      </c>
      <c r="BF92" s="10">
        <v>6</v>
      </c>
      <c r="BG92" s="10">
        <v>4</v>
      </c>
      <c r="BH92" s="10">
        <v>2</v>
      </c>
      <c r="BI92" s="10">
        <v>0</v>
      </c>
      <c r="BJ92" s="10">
        <v>1</v>
      </c>
      <c r="BK92" s="10">
        <v>0</v>
      </c>
      <c r="BL92" s="10">
        <v>0</v>
      </c>
      <c r="BM92" s="10">
        <v>1</v>
      </c>
      <c r="BN92" s="10">
        <v>1</v>
      </c>
      <c r="BO92" s="10">
        <v>0</v>
      </c>
      <c r="BP92" s="10">
        <v>2</v>
      </c>
      <c r="BQ92" s="10">
        <v>0</v>
      </c>
      <c r="BR92" s="10">
        <v>0</v>
      </c>
      <c r="BS92" s="10">
        <v>18</v>
      </c>
    </row>
    <row r="93" spans="1:71" x14ac:dyDescent="0.55000000000000004">
      <c r="A93" s="10">
        <v>828</v>
      </c>
      <c r="B93" s="10">
        <v>2022</v>
      </c>
      <c r="C93" s="10">
        <v>5032</v>
      </c>
      <c r="D93" s="10">
        <v>25278</v>
      </c>
      <c r="E93" s="10">
        <v>10797</v>
      </c>
      <c r="F93" s="10">
        <v>4330</v>
      </c>
      <c r="G93" s="10">
        <v>8763</v>
      </c>
      <c r="H93" s="10">
        <v>0</v>
      </c>
      <c r="I93" s="10">
        <v>1622</v>
      </c>
      <c r="J93" s="10">
        <v>0</v>
      </c>
      <c r="K93" s="10">
        <v>0</v>
      </c>
      <c r="L93" s="10">
        <v>4037</v>
      </c>
      <c r="M93" s="10">
        <v>6022</v>
      </c>
      <c r="N93" s="10">
        <v>4241</v>
      </c>
      <c r="O93" s="10">
        <v>4653</v>
      </c>
      <c r="P93" s="10">
        <v>9323</v>
      </c>
      <c r="Q93" s="10">
        <v>1777</v>
      </c>
      <c r="R93" s="10">
        <v>7102</v>
      </c>
      <c r="S93" s="10">
        <v>64434</v>
      </c>
      <c r="T93" s="10">
        <v>28543</v>
      </c>
      <c r="U93" s="10">
        <v>16.155802861685213</v>
      </c>
      <c r="V93" s="10">
        <v>15.001938444497192</v>
      </c>
      <c r="W93" s="10">
        <v>34.100083402835693</v>
      </c>
      <c r="X93" s="10">
        <v>0</v>
      </c>
      <c r="Y93" s="10">
        <v>0</v>
      </c>
      <c r="Z93" s="10">
        <v>0</v>
      </c>
      <c r="AA93" s="10">
        <v>0</v>
      </c>
      <c r="AB93" s="10">
        <v>26.875462392108506</v>
      </c>
      <c r="AC93" s="10">
        <v>0</v>
      </c>
      <c r="AD93" s="10">
        <v>0</v>
      </c>
      <c r="AE93" s="10">
        <v>19.293039385682437</v>
      </c>
      <c r="AF93" s="10">
        <v>45.371969445366993</v>
      </c>
      <c r="AG93" s="10">
        <v>15.403678377741098</v>
      </c>
      <c r="AH93" s="10">
        <v>0</v>
      </c>
      <c r="AI93" s="10">
        <v>38.921484500697197</v>
      </c>
      <c r="AJ93" s="10">
        <v>62.360465116279073</v>
      </c>
      <c r="AK93" s="10">
        <v>31.849746764209339</v>
      </c>
      <c r="AL93" s="10">
        <v>12.580681498169529</v>
      </c>
      <c r="AM93" s="10">
        <v>0</v>
      </c>
      <c r="AN93" s="10">
        <v>0</v>
      </c>
      <c r="AO93" s="10">
        <v>0</v>
      </c>
      <c r="AP93" s="10">
        <v>8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2</v>
      </c>
      <c r="AX93" s="10">
        <v>2</v>
      </c>
      <c r="AY93" s="10">
        <v>0</v>
      </c>
      <c r="AZ93" s="10">
        <v>1</v>
      </c>
      <c r="BA93" s="10">
        <v>0</v>
      </c>
      <c r="BB93" s="10">
        <v>1</v>
      </c>
      <c r="BC93" s="10">
        <v>14</v>
      </c>
      <c r="BD93" s="10">
        <v>5</v>
      </c>
      <c r="BE93" s="10">
        <v>0</v>
      </c>
      <c r="BF93" s="10">
        <v>5</v>
      </c>
      <c r="BG93" s="10">
        <v>0</v>
      </c>
      <c r="BH93" s="10">
        <v>0</v>
      </c>
      <c r="BI93" s="10">
        <v>0</v>
      </c>
      <c r="BJ93" s="10">
        <v>1</v>
      </c>
      <c r="BK93" s="10">
        <v>0</v>
      </c>
      <c r="BL93" s="10">
        <v>0</v>
      </c>
      <c r="BM93" s="10">
        <v>0</v>
      </c>
      <c r="BN93" s="10">
        <v>0</v>
      </c>
      <c r="BO93" s="10">
        <v>1</v>
      </c>
      <c r="BP93" s="10">
        <v>3</v>
      </c>
      <c r="BQ93" s="10">
        <v>1</v>
      </c>
      <c r="BR93" s="10">
        <v>2</v>
      </c>
      <c r="BS93" s="10">
        <v>18</v>
      </c>
    </row>
    <row r="94" spans="1:71" x14ac:dyDescent="0.55000000000000004">
      <c r="A94" s="10">
        <v>555</v>
      </c>
      <c r="B94" s="10">
        <v>2022</v>
      </c>
      <c r="C94" s="10">
        <v>3583</v>
      </c>
      <c r="D94" s="10">
        <v>25401</v>
      </c>
      <c r="E94" s="10">
        <v>1462</v>
      </c>
      <c r="F94" s="10">
        <v>0</v>
      </c>
      <c r="G94" s="10">
        <v>0</v>
      </c>
      <c r="H94" s="10">
        <v>0</v>
      </c>
      <c r="I94" s="10">
        <v>11109</v>
      </c>
      <c r="J94" s="10">
        <v>0</v>
      </c>
      <c r="K94" s="10">
        <v>0</v>
      </c>
      <c r="L94" s="10">
        <v>2148</v>
      </c>
      <c r="M94" s="10">
        <v>10475</v>
      </c>
      <c r="N94" s="10">
        <v>921</v>
      </c>
      <c r="O94" s="10">
        <v>0</v>
      </c>
      <c r="P94" s="10">
        <v>14377</v>
      </c>
      <c r="Q94" s="10">
        <v>2185</v>
      </c>
      <c r="R94" s="10">
        <v>67643</v>
      </c>
      <c r="S94" s="10">
        <v>137842</v>
      </c>
      <c r="T94" s="10">
        <v>1462</v>
      </c>
      <c r="U94" s="10">
        <v>21.205972648618477</v>
      </c>
      <c r="V94" s="10">
        <v>26.083106964292742</v>
      </c>
      <c r="W94" s="10">
        <v>0</v>
      </c>
      <c r="X94" s="10">
        <v>36.409712722298224</v>
      </c>
      <c r="Y94" s="10">
        <v>0</v>
      </c>
      <c r="Z94" s="10">
        <v>0</v>
      </c>
      <c r="AA94" s="10">
        <v>0</v>
      </c>
      <c r="AB94" s="10">
        <v>34.084346025744892</v>
      </c>
      <c r="AC94" s="10">
        <v>0</v>
      </c>
      <c r="AD94" s="10">
        <v>0</v>
      </c>
      <c r="AE94" s="10">
        <v>19.660614525139664</v>
      </c>
      <c r="AF94" s="10">
        <v>51.903389021479711</v>
      </c>
      <c r="AG94" s="10">
        <v>36.795874049945709</v>
      </c>
      <c r="AH94" s="10">
        <v>0</v>
      </c>
      <c r="AI94" s="10">
        <v>59.662933852681363</v>
      </c>
      <c r="AJ94" s="10">
        <v>69.762557077625573</v>
      </c>
      <c r="AK94" s="10">
        <v>38.73638443935927</v>
      </c>
      <c r="AL94" s="10">
        <v>27.281448191239299</v>
      </c>
      <c r="AM94" s="10">
        <v>0</v>
      </c>
      <c r="AN94" s="10">
        <v>1</v>
      </c>
      <c r="AO94" s="10">
        <v>0</v>
      </c>
      <c r="AP94" s="10">
        <v>7</v>
      </c>
      <c r="AQ94" s="10">
        <v>0</v>
      </c>
      <c r="AR94" s="10">
        <v>0</v>
      </c>
      <c r="AS94" s="10">
        <v>0</v>
      </c>
      <c r="AT94" s="10">
        <v>3</v>
      </c>
      <c r="AU94" s="10">
        <v>0</v>
      </c>
      <c r="AV94" s="10">
        <v>0</v>
      </c>
      <c r="AW94" s="10">
        <v>1</v>
      </c>
      <c r="AX94" s="10">
        <v>4</v>
      </c>
      <c r="AY94" s="10">
        <v>1</v>
      </c>
      <c r="AZ94" s="10">
        <v>2</v>
      </c>
      <c r="BA94" s="10">
        <v>1</v>
      </c>
      <c r="BB94" s="10">
        <v>17</v>
      </c>
      <c r="BC94" s="10">
        <v>37</v>
      </c>
      <c r="BD94" s="10">
        <v>0</v>
      </c>
      <c r="BE94" s="10">
        <v>0</v>
      </c>
      <c r="BF94" s="10">
        <v>17</v>
      </c>
      <c r="BG94" s="10">
        <v>0</v>
      </c>
      <c r="BH94" s="10">
        <v>0</v>
      </c>
      <c r="BI94" s="10">
        <v>0</v>
      </c>
      <c r="BJ94" s="10">
        <v>2</v>
      </c>
      <c r="BK94" s="10">
        <v>0</v>
      </c>
      <c r="BL94" s="10">
        <v>0</v>
      </c>
      <c r="BM94" s="10">
        <v>0</v>
      </c>
      <c r="BN94" s="10">
        <v>0</v>
      </c>
      <c r="BO94" s="10">
        <v>0</v>
      </c>
      <c r="BP94" s="10">
        <v>6</v>
      </c>
      <c r="BQ94" s="10">
        <v>0</v>
      </c>
      <c r="BR94" s="10">
        <v>8</v>
      </c>
      <c r="BS94" s="10">
        <v>33</v>
      </c>
    </row>
    <row r="95" spans="1:71" x14ac:dyDescent="0.55000000000000004">
      <c r="A95" s="10">
        <v>835</v>
      </c>
      <c r="B95" s="10">
        <v>2022</v>
      </c>
      <c r="C95" s="10">
        <v>4493</v>
      </c>
      <c r="D95" s="10">
        <v>25670</v>
      </c>
      <c r="E95" s="10">
        <v>16920</v>
      </c>
      <c r="F95" s="10">
        <v>5822</v>
      </c>
      <c r="G95" s="10">
        <v>7170</v>
      </c>
      <c r="H95" s="10">
        <v>84</v>
      </c>
      <c r="I95" s="10">
        <v>9124</v>
      </c>
      <c r="J95" s="10">
        <v>347</v>
      </c>
      <c r="K95" s="10">
        <v>0</v>
      </c>
      <c r="L95" s="10">
        <v>1353</v>
      </c>
      <c r="M95" s="10">
        <v>5510</v>
      </c>
      <c r="N95" s="10">
        <v>0</v>
      </c>
      <c r="O95" s="10">
        <v>3364</v>
      </c>
      <c r="P95" s="10">
        <v>3750</v>
      </c>
      <c r="Q95" s="10">
        <v>2082</v>
      </c>
      <c r="R95" s="10">
        <v>5622</v>
      </c>
      <c r="S95" s="10">
        <v>57951</v>
      </c>
      <c r="T95" s="10">
        <v>33360</v>
      </c>
      <c r="U95" s="10">
        <v>21.854440240373915</v>
      </c>
      <c r="V95" s="10">
        <v>22.225944682508764</v>
      </c>
      <c r="W95" s="10">
        <v>13.899147727272727</v>
      </c>
      <c r="X95" s="10">
        <v>12.319148936170214</v>
      </c>
      <c r="Y95" s="10">
        <v>34.523359670216415</v>
      </c>
      <c r="Z95" s="10">
        <v>17.536541143654112</v>
      </c>
      <c r="AA95" s="10">
        <v>35.464285714285715</v>
      </c>
      <c r="AB95" s="10">
        <v>36.935225778167471</v>
      </c>
      <c r="AC95" s="10">
        <v>50.031746031746032</v>
      </c>
      <c r="AD95" s="10">
        <v>0</v>
      </c>
      <c r="AE95" s="10">
        <v>24.904656319290467</v>
      </c>
      <c r="AF95" s="10">
        <v>44.269147005444651</v>
      </c>
      <c r="AG95" s="10">
        <v>0</v>
      </c>
      <c r="AH95" s="10">
        <v>26.626634958382876</v>
      </c>
      <c r="AI95" s="10">
        <v>49.115200000000002</v>
      </c>
      <c r="AJ95" s="10">
        <v>61.28854625550661</v>
      </c>
      <c r="AK95" s="10">
        <v>25.20653218059558</v>
      </c>
      <c r="AL95" s="10">
        <v>24.015119174670936</v>
      </c>
      <c r="AM95" s="10">
        <v>0</v>
      </c>
      <c r="AN95" s="10">
        <v>1</v>
      </c>
      <c r="AO95" s="10">
        <v>3</v>
      </c>
      <c r="AP95" s="10">
        <v>7</v>
      </c>
      <c r="AQ95" s="10">
        <v>7</v>
      </c>
      <c r="AR95" s="10">
        <v>4</v>
      </c>
      <c r="AS95" s="10">
        <v>0</v>
      </c>
      <c r="AT95" s="10">
        <v>6</v>
      </c>
      <c r="AU95" s="10">
        <v>2</v>
      </c>
      <c r="AV95" s="10">
        <v>0</v>
      </c>
      <c r="AW95" s="10">
        <v>1</v>
      </c>
      <c r="AX95" s="10">
        <v>2</v>
      </c>
      <c r="AY95" s="10">
        <v>0</v>
      </c>
      <c r="AZ95" s="10">
        <v>1</v>
      </c>
      <c r="BA95" s="10">
        <v>1</v>
      </c>
      <c r="BB95" s="10">
        <v>2</v>
      </c>
      <c r="BC95" s="10">
        <v>37</v>
      </c>
      <c r="BD95" s="10">
        <v>5</v>
      </c>
      <c r="BE95" s="10">
        <v>0</v>
      </c>
      <c r="BF95" s="10">
        <v>14</v>
      </c>
      <c r="BG95" s="10">
        <v>4</v>
      </c>
      <c r="BH95" s="10">
        <v>0</v>
      </c>
      <c r="BI95" s="10">
        <v>0</v>
      </c>
      <c r="BJ95" s="10">
        <v>3</v>
      </c>
      <c r="BK95" s="10">
        <v>0</v>
      </c>
      <c r="BL95" s="10">
        <v>0</v>
      </c>
      <c r="BM95" s="10">
        <v>0</v>
      </c>
      <c r="BN95" s="10">
        <v>0</v>
      </c>
      <c r="BO95" s="10">
        <v>0</v>
      </c>
      <c r="BP95" s="10">
        <v>2</v>
      </c>
      <c r="BQ95" s="10">
        <v>0</v>
      </c>
      <c r="BR95" s="10">
        <v>1</v>
      </c>
      <c r="BS95" s="10">
        <v>29</v>
      </c>
    </row>
    <row r="96" spans="1:71" x14ac:dyDescent="0.55000000000000004">
      <c r="A96" s="10">
        <v>953</v>
      </c>
      <c r="B96" s="10">
        <v>2022</v>
      </c>
      <c r="C96" s="10">
        <v>3397</v>
      </c>
      <c r="D96" s="10">
        <v>25791</v>
      </c>
      <c r="E96" s="10">
        <v>1</v>
      </c>
      <c r="F96" s="10">
        <v>0</v>
      </c>
      <c r="G96" s="10">
        <v>0</v>
      </c>
      <c r="H96" s="10">
        <v>0</v>
      </c>
      <c r="I96" s="10">
        <v>3127</v>
      </c>
      <c r="J96" s="10">
        <v>0</v>
      </c>
      <c r="K96" s="10">
        <v>0</v>
      </c>
      <c r="L96" s="10">
        <v>2070</v>
      </c>
      <c r="M96" s="10">
        <v>5238</v>
      </c>
      <c r="N96" s="10">
        <v>1642</v>
      </c>
      <c r="O96" s="10">
        <v>0</v>
      </c>
      <c r="P96" s="10">
        <v>6815</v>
      </c>
      <c r="Q96" s="10">
        <v>145</v>
      </c>
      <c r="R96" s="10">
        <v>613</v>
      </c>
      <c r="S96" s="10">
        <v>48838</v>
      </c>
      <c r="T96" s="10">
        <v>1</v>
      </c>
      <c r="U96" s="10">
        <v>27.602884898439797</v>
      </c>
      <c r="V96" s="10">
        <v>23.76383234461634</v>
      </c>
      <c r="W96" s="10">
        <v>34.099084096586182</v>
      </c>
      <c r="X96" s="10">
        <v>0</v>
      </c>
      <c r="Y96" s="10">
        <v>0</v>
      </c>
      <c r="Z96" s="10">
        <v>0</v>
      </c>
      <c r="AA96" s="10">
        <v>0</v>
      </c>
      <c r="AB96" s="10">
        <v>27.053405820275021</v>
      </c>
      <c r="AC96" s="10">
        <v>50.775665399239543</v>
      </c>
      <c r="AD96" s="10">
        <v>0</v>
      </c>
      <c r="AE96" s="10">
        <v>20.117391304347823</v>
      </c>
      <c r="AF96" s="10">
        <v>45.518709431080559</v>
      </c>
      <c r="AG96" s="10">
        <v>25.682095006090133</v>
      </c>
      <c r="AH96" s="10">
        <v>0</v>
      </c>
      <c r="AI96" s="10">
        <v>48.417608217168016</v>
      </c>
      <c r="AJ96" s="10">
        <v>0</v>
      </c>
      <c r="AK96" s="10">
        <v>33.117241379310343</v>
      </c>
      <c r="AL96" s="10">
        <v>28.172920065252857</v>
      </c>
      <c r="AM96" s="10">
        <v>0</v>
      </c>
      <c r="AN96" s="10">
        <v>1</v>
      </c>
      <c r="AO96" s="10">
        <v>13</v>
      </c>
      <c r="AP96" s="10">
        <v>7</v>
      </c>
      <c r="AQ96" s="10">
        <v>7</v>
      </c>
      <c r="AR96" s="10">
        <v>2</v>
      </c>
      <c r="AS96" s="10">
        <v>2</v>
      </c>
      <c r="AT96" s="10">
        <v>2</v>
      </c>
      <c r="AU96" s="10">
        <v>4</v>
      </c>
      <c r="AV96" s="10">
        <v>0</v>
      </c>
      <c r="AW96" s="10">
        <v>1</v>
      </c>
      <c r="AX96" s="10">
        <v>3</v>
      </c>
      <c r="AY96" s="10">
        <v>1</v>
      </c>
      <c r="AZ96" s="10">
        <v>3</v>
      </c>
      <c r="BA96" s="10">
        <v>0</v>
      </c>
      <c r="BB96" s="10">
        <v>0</v>
      </c>
      <c r="BC96" s="10">
        <v>46</v>
      </c>
      <c r="BD96" s="10">
        <v>1</v>
      </c>
      <c r="BE96" s="10">
        <v>0</v>
      </c>
      <c r="BF96" s="10">
        <v>4</v>
      </c>
      <c r="BG96" s="10">
        <v>1</v>
      </c>
      <c r="BH96" s="10">
        <v>0</v>
      </c>
      <c r="BI96" s="10">
        <v>0</v>
      </c>
      <c r="BJ96" s="10">
        <v>2</v>
      </c>
      <c r="BK96" s="10">
        <v>0</v>
      </c>
      <c r="BL96" s="10">
        <v>0</v>
      </c>
      <c r="BM96" s="10">
        <v>0</v>
      </c>
      <c r="BN96" s="10">
        <v>1</v>
      </c>
      <c r="BO96" s="10">
        <v>0</v>
      </c>
      <c r="BP96" s="10">
        <v>0</v>
      </c>
      <c r="BQ96" s="10">
        <v>0</v>
      </c>
      <c r="BR96" s="10">
        <v>0</v>
      </c>
      <c r="BS96" s="10">
        <v>9</v>
      </c>
    </row>
    <row r="97" spans="1:71" x14ac:dyDescent="0.55000000000000004">
      <c r="A97" s="10">
        <v>462</v>
      </c>
      <c r="B97" s="10">
        <v>2022</v>
      </c>
      <c r="C97" s="10">
        <v>1600</v>
      </c>
      <c r="D97" s="10">
        <v>26047</v>
      </c>
      <c r="E97" s="10">
        <v>11128</v>
      </c>
      <c r="F97" s="10">
        <v>4168</v>
      </c>
      <c r="G97" s="10">
        <v>1685</v>
      </c>
      <c r="H97" s="10">
        <v>1549</v>
      </c>
      <c r="I97" s="10">
        <v>12591</v>
      </c>
      <c r="J97" s="10">
        <v>0</v>
      </c>
      <c r="K97" s="10">
        <v>0</v>
      </c>
      <c r="L97" s="10">
        <v>4106</v>
      </c>
      <c r="M97" s="10">
        <v>7587</v>
      </c>
      <c r="N97" s="10">
        <v>0</v>
      </c>
      <c r="O97" s="10">
        <v>5791</v>
      </c>
      <c r="P97" s="10">
        <v>6780</v>
      </c>
      <c r="Q97" s="10">
        <v>2241</v>
      </c>
      <c r="R97" s="10">
        <v>3722</v>
      </c>
      <c r="S97" s="10">
        <v>64674</v>
      </c>
      <c r="T97" s="10">
        <v>24321</v>
      </c>
      <c r="U97" s="10">
        <v>18.82375</v>
      </c>
      <c r="V97" s="10">
        <v>17.369831458517293</v>
      </c>
      <c r="W97" s="10">
        <v>34.456653061224493</v>
      </c>
      <c r="X97" s="10">
        <v>16.501887131560029</v>
      </c>
      <c r="Y97" s="10">
        <v>32.203214971209214</v>
      </c>
      <c r="Z97" s="10">
        <v>12.983976261127598</v>
      </c>
      <c r="AA97" s="10">
        <v>14.01936733376372</v>
      </c>
      <c r="AB97" s="10">
        <v>25.394885235485663</v>
      </c>
      <c r="AC97" s="10">
        <v>46.62932790224032</v>
      </c>
      <c r="AD97" s="10">
        <v>0</v>
      </c>
      <c r="AE97" s="10">
        <v>19.926205552849488</v>
      </c>
      <c r="AF97" s="10">
        <v>37.921576380651111</v>
      </c>
      <c r="AG97" s="10">
        <v>0</v>
      </c>
      <c r="AH97" s="10">
        <v>18.436194094284232</v>
      </c>
      <c r="AI97" s="10">
        <v>32.549557522123891</v>
      </c>
      <c r="AJ97" s="10">
        <v>0</v>
      </c>
      <c r="AK97" s="10">
        <v>25.71218206157965</v>
      </c>
      <c r="AL97" s="10">
        <v>19.546211714132188</v>
      </c>
      <c r="AM97" s="10">
        <v>0</v>
      </c>
      <c r="AN97" s="10">
        <v>0</v>
      </c>
      <c r="AO97" s="10">
        <v>2</v>
      </c>
      <c r="AP97" s="10">
        <v>11</v>
      </c>
      <c r="AQ97" s="10">
        <v>8</v>
      </c>
      <c r="AR97" s="10">
        <v>0</v>
      </c>
      <c r="AS97" s="10">
        <v>1</v>
      </c>
      <c r="AT97" s="10">
        <v>0</v>
      </c>
      <c r="AU97" s="10">
        <v>4</v>
      </c>
      <c r="AV97" s="10">
        <v>0</v>
      </c>
      <c r="AW97" s="10">
        <v>2</v>
      </c>
      <c r="AX97" s="10">
        <v>3</v>
      </c>
      <c r="AY97" s="10">
        <v>0</v>
      </c>
      <c r="AZ97" s="10">
        <v>2</v>
      </c>
      <c r="BA97" s="10">
        <v>1</v>
      </c>
      <c r="BB97" s="10">
        <v>2</v>
      </c>
      <c r="BC97" s="10">
        <v>36</v>
      </c>
      <c r="BD97" s="10">
        <v>1</v>
      </c>
      <c r="BE97" s="10">
        <v>0</v>
      </c>
      <c r="BF97" s="10">
        <v>7</v>
      </c>
      <c r="BG97" s="10">
        <v>4</v>
      </c>
      <c r="BH97" s="10">
        <v>0</v>
      </c>
      <c r="BI97" s="10">
        <v>0</v>
      </c>
      <c r="BJ97" s="10">
        <v>1</v>
      </c>
      <c r="BK97" s="10">
        <v>1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14</v>
      </c>
    </row>
    <row r="98" spans="1:71" x14ac:dyDescent="0.55000000000000004">
      <c r="A98" s="10">
        <v>433</v>
      </c>
      <c r="B98" s="10">
        <v>2022</v>
      </c>
      <c r="C98" s="10">
        <v>3593</v>
      </c>
      <c r="D98" s="10">
        <v>26094</v>
      </c>
      <c r="E98" s="10">
        <v>1116</v>
      </c>
      <c r="F98" s="10">
        <v>0</v>
      </c>
      <c r="G98" s="10">
        <v>2579</v>
      </c>
      <c r="H98" s="10">
        <v>552</v>
      </c>
      <c r="I98" s="10">
        <v>11924</v>
      </c>
      <c r="J98" s="10">
        <v>0</v>
      </c>
      <c r="K98" s="10">
        <v>0</v>
      </c>
      <c r="L98" s="10">
        <v>0</v>
      </c>
      <c r="M98" s="10">
        <v>5630</v>
      </c>
      <c r="N98" s="10">
        <v>0</v>
      </c>
      <c r="O98" s="10">
        <v>0</v>
      </c>
      <c r="P98" s="10">
        <v>9075</v>
      </c>
      <c r="Q98" s="10">
        <v>1959</v>
      </c>
      <c r="R98" s="10">
        <v>18600</v>
      </c>
      <c r="S98" s="10">
        <v>76875</v>
      </c>
      <c r="T98" s="10">
        <v>4247</v>
      </c>
      <c r="U98" s="10">
        <v>26.041747843028109</v>
      </c>
      <c r="V98" s="10">
        <v>22.173296543266652</v>
      </c>
      <c r="W98" s="10">
        <v>30.2</v>
      </c>
      <c r="X98" s="10">
        <v>22.535842293906807</v>
      </c>
      <c r="Y98" s="10">
        <v>0</v>
      </c>
      <c r="Z98" s="10">
        <v>21.82628925940287</v>
      </c>
      <c r="AA98" s="10">
        <v>21.697463768115941</v>
      </c>
      <c r="AB98" s="10">
        <v>29.128480375712847</v>
      </c>
      <c r="AC98" s="10">
        <v>49.459518599562365</v>
      </c>
      <c r="AD98" s="10">
        <v>0</v>
      </c>
      <c r="AE98" s="10">
        <v>0</v>
      </c>
      <c r="AF98" s="10">
        <v>46.104440497335702</v>
      </c>
      <c r="AG98" s="10">
        <v>0</v>
      </c>
      <c r="AH98" s="10">
        <v>0</v>
      </c>
      <c r="AI98" s="10">
        <v>41.384242424242423</v>
      </c>
      <c r="AJ98" s="10">
        <v>0</v>
      </c>
      <c r="AK98" s="10">
        <v>30.708014293006634</v>
      </c>
      <c r="AL98" s="10">
        <v>21.297795698924734</v>
      </c>
      <c r="AM98" s="10">
        <v>0</v>
      </c>
      <c r="AN98" s="10">
        <v>1</v>
      </c>
      <c r="AO98" s="10">
        <v>3</v>
      </c>
      <c r="AP98" s="10">
        <v>6</v>
      </c>
      <c r="AQ98" s="10">
        <v>8</v>
      </c>
      <c r="AR98" s="10">
        <v>7</v>
      </c>
      <c r="AS98" s="10">
        <v>0</v>
      </c>
      <c r="AT98" s="10">
        <v>5</v>
      </c>
      <c r="AU98" s="10">
        <v>5</v>
      </c>
      <c r="AV98" s="10">
        <v>0</v>
      </c>
      <c r="AW98" s="10">
        <v>0</v>
      </c>
      <c r="AX98" s="10">
        <v>2</v>
      </c>
      <c r="AY98" s="10">
        <v>0</v>
      </c>
      <c r="AZ98" s="10">
        <v>3</v>
      </c>
      <c r="BA98" s="10">
        <v>1</v>
      </c>
      <c r="BB98" s="10">
        <v>6</v>
      </c>
      <c r="BC98" s="10">
        <v>47</v>
      </c>
      <c r="BD98" s="10">
        <v>1</v>
      </c>
      <c r="BE98" s="10">
        <v>0</v>
      </c>
      <c r="BF98" s="10">
        <v>30</v>
      </c>
      <c r="BG98" s="10">
        <v>14</v>
      </c>
      <c r="BH98" s="10">
        <v>4</v>
      </c>
      <c r="BI98" s="10">
        <v>0</v>
      </c>
      <c r="BJ98" s="10">
        <v>3</v>
      </c>
      <c r="BK98" s="10">
        <v>0</v>
      </c>
      <c r="BL98" s="10">
        <v>0</v>
      </c>
      <c r="BM98" s="10">
        <v>0</v>
      </c>
      <c r="BN98" s="10">
        <v>1</v>
      </c>
      <c r="BO98" s="10">
        <v>0</v>
      </c>
      <c r="BP98" s="10">
        <v>2</v>
      </c>
      <c r="BQ98" s="10">
        <v>0</v>
      </c>
      <c r="BR98" s="10">
        <v>1</v>
      </c>
      <c r="BS98" s="10">
        <v>56</v>
      </c>
    </row>
    <row r="99" spans="1:71" x14ac:dyDescent="0.55000000000000004">
      <c r="A99" s="10">
        <v>662</v>
      </c>
      <c r="B99" s="10">
        <v>2022</v>
      </c>
      <c r="C99" s="10">
        <v>1904</v>
      </c>
      <c r="D99" s="10">
        <v>26168</v>
      </c>
      <c r="E99" s="10">
        <v>0</v>
      </c>
      <c r="F99" s="10">
        <v>5717</v>
      </c>
      <c r="G99" s="10">
        <v>0</v>
      </c>
      <c r="H99" s="10">
        <v>0</v>
      </c>
      <c r="I99" s="10">
        <v>8838</v>
      </c>
      <c r="J99" s="10">
        <v>0</v>
      </c>
      <c r="K99" s="10">
        <v>0</v>
      </c>
      <c r="L99" s="10">
        <v>378</v>
      </c>
      <c r="M99" s="10">
        <v>2088</v>
      </c>
      <c r="N99" s="10">
        <v>0</v>
      </c>
      <c r="O99" s="10">
        <v>1148</v>
      </c>
      <c r="P99" s="10">
        <v>5839</v>
      </c>
      <c r="Q99" s="10">
        <v>2103</v>
      </c>
      <c r="R99" s="10">
        <v>0</v>
      </c>
      <c r="S99" s="10">
        <v>47318</v>
      </c>
      <c r="T99" s="10">
        <v>6865</v>
      </c>
      <c r="U99" s="10">
        <v>17.956407563025209</v>
      </c>
      <c r="V99" s="10">
        <v>23.442525221644757</v>
      </c>
      <c r="W99" s="10">
        <v>65.269387755102045</v>
      </c>
      <c r="X99" s="10">
        <v>0</v>
      </c>
      <c r="Y99" s="10">
        <v>30.331992303655763</v>
      </c>
      <c r="Z99" s="10">
        <v>0</v>
      </c>
      <c r="AA99" s="10">
        <v>0</v>
      </c>
      <c r="AB99" s="10">
        <v>33.717809459153656</v>
      </c>
      <c r="AC99" s="10">
        <v>162.59259259259258</v>
      </c>
      <c r="AD99" s="10">
        <v>0</v>
      </c>
      <c r="AE99" s="10">
        <v>17.013227513227513</v>
      </c>
      <c r="AF99" s="10">
        <v>58.104885057471265</v>
      </c>
      <c r="AG99" s="10">
        <v>0</v>
      </c>
      <c r="AH99" s="10">
        <v>23.831010452961671</v>
      </c>
      <c r="AI99" s="10">
        <v>47.340469258434666</v>
      </c>
      <c r="AJ99" s="10">
        <v>134.96810933940773</v>
      </c>
      <c r="AK99" s="10">
        <v>22.474560152163573</v>
      </c>
      <c r="AL99" s="10">
        <v>0</v>
      </c>
      <c r="AM99" s="10">
        <v>0</v>
      </c>
      <c r="AN99" s="10">
        <v>1</v>
      </c>
      <c r="AO99" s="10">
        <v>1</v>
      </c>
      <c r="AP99" s="10">
        <v>12</v>
      </c>
      <c r="AQ99" s="10">
        <v>0</v>
      </c>
      <c r="AR99" s="10">
        <v>0</v>
      </c>
      <c r="AS99" s="10">
        <v>0</v>
      </c>
      <c r="AT99" s="10">
        <v>3</v>
      </c>
      <c r="AU99" s="10">
        <v>0</v>
      </c>
      <c r="AV99" s="10">
        <v>0</v>
      </c>
      <c r="AW99" s="10">
        <v>0</v>
      </c>
      <c r="AX99" s="10">
        <v>2</v>
      </c>
      <c r="AY99" s="10">
        <v>0</v>
      </c>
      <c r="AZ99" s="10">
        <v>2</v>
      </c>
      <c r="BA99" s="10">
        <v>1</v>
      </c>
      <c r="BB99" s="10">
        <v>0</v>
      </c>
      <c r="BC99" s="10">
        <v>22</v>
      </c>
      <c r="BD99" s="10">
        <v>0</v>
      </c>
      <c r="BE99" s="10">
        <v>3</v>
      </c>
      <c r="BF99" s="10">
        <v>2</v>
      </c>
      <c r="BG99" s="10">
        <v>0</v>
      </c>
      <c r="BH99" s="10">
        <v>0</v>
      </c>
      <c r="BI99" s="10">
        <v>0</v>
      </c>
      <c r="BJ99" s="10">
        <v>2</v>
      </c>
      <c r="BK99" s="10">
        <v>3</v>
      </c>
      <c r="BL99" s="10">
        <v>0</v>
      </c>
      <c r="BM99" s="10">
        <v>1</v>
      </c>
      <c r="BN99" s="10">
        <v>1</v>
      </c>
      <c r="BO99" s="10">
        <v>0</v>
      </c>
      <c r="BP99" s="10">
        <v>0</v>
      </c>
      <c r="BQ99" s="10">
        <v>0</v>
      </c>
      <c r="BR99" s="10">
        <v>0</v>
      </c>
      <c r="BS99" s="10">
        <v>12</v>
      </c>
    </row>
    <row r="100" spans="1:71" x14ac:dyDescent="0.55000000000000004">
      <c r="A100" s="10">
        <v>901</v>
      </c>
      <c r="B100" s="10">
        <v>2022</v>
      </c>
      <c r="C100" s="10">
        <v>3060</v>
      </c>
      <c r="D100" s="10">
        <v>26250</v>
      </c>
      <c r="E100" s="10">
        <v>6910</v>
      </c>
      <c r="F100" s="10">
        <v>6452</v>
      </c>
      <c r="G100" s="10">
        <v>2098</v>
      </c>
      <c r="H100" s="10">
        <v>984</v>
      </c>
      <c r="I100" s="10">
        <v>9609</v>
      </c>
      <c r="J100" s="10">
        <v>0</v>
      </c>
      <c r="K100" s="10">
        <v>0</v>
      </c>
      <c r="L100" s="10">
        <v>1947</v>
      </c>
      <c r="M100" s="10">
        <v>4253</v>
      </c>
      <c r="N100" s="10">
        <v>0</v>
      </c>
      <c r="O100" s="10">
        <v>3976</v>
      </c>
      <c r="P100" s="10">
        <v>3406</v>
      </c>
      <c r="Q100" s="10">
        <v>2006</v>
      </c>
      <c r="R100" s="10">
        <v>2129</v>
      </c>
      <c r="S100" s="10">
        <v>52660</v>
      </c>
      <c r="T100" s="10">
        <v>20420</v>
      </c>
      <c r="U100" s="10">
        <v>19.02549019607843</v>
      </c>
      <c r="V100" s="10">
        <v>24.156152380952381</v>
      </c>
      <c r="W100" s="10">
        <v>41.087209302325583</v>
      </c>
      <c r="X100" s="10">
        <v>18.610709117221418</v>
      </c>
      <c r="Y100" s="10">
        <v>32.297117172969621</v>
      </c>
      <c r="Z100" s="10">
        <v>14.618684461391801</v>
      </c>
      <c r="AA100" s="10">
        <v>14.001016260162601</v>
      </c>
      <c r="AB100" s="10">
        <v>30.137683421792072</v>
      </c>
      <c r="AC100" s="10">
        <v>0</v>
      </c>
      <c r="AD100" s="10">
        <v>0</v>
      </c>
      <c r="AE100" s="10">
        <v>20.951206985105291</v>
      </c>
      <c r="AF100" s="10">
        <v>39.844815424406306</v>
      </c>
      <c r="AG100" s="10">
        <v>0</v>
      </c>
      <c r="AH100" s="10">
        <v>20.976861167002014</v>
      </c>
      <c r="AI100" s="10">
        <v>36.764533176746916</v>
      </c>
      <c r="AJ100" s="10">
        <v>69.049808429118769</v>
      </c>
      <c r="AK100" s="10">
        <v>26.793619142572282</v>
      </c>
      <c r="AL100" s="10">
        <v>21.349929544387034</v>
      </c>
      <c r="AM100" s="10">
        <v>0</v>
      </c>
      <c r="AN100" s="10">
        <v>2</v>
      </c>
      <c r="AO100" s="10">
        <v>3</v>
      </c>
      <c r="AP100" s="10">
        <v>8</v>
      </c>
      <c r="AQ100" s="10">
        <v>6</v>
      </c>
      <c r="AR100" s="10">
        <v>0</v>
      </c>
      <c r="AS100" s="10">
        <v>0</v>
      </c>
      <c r="AT100" s="10">
        <v>3</v>
      </c>
      <c r="AU100" s="10">
        <v>2</v>
      </c>
      <c r="AV100" s="10">
        <v>0</v>
      </c>
      <c r="AW100" s="10">
        <v>2</v>
      </c>
      <c r="AX100" s="10">
        <v>1</v>
      </c>
      <c r="AY100" s="10">
        <v>0</v>
      </c>
      <c r="AZ100" s="10">
        <v>1</v>
      </c>
      <c r="BA100" s="10">
        <v>1</v>
      </c>
      <c r="BB100" s="10">
        <v>0</v>
      </c>
      <c r="BC100" s="10">
        <v>29</v>
      </c>
      <c r="BD100" s="10">
        <v>0</v>
      </c>
      <c r="BE100" s="10">
        <v>0</v>
      </c>
      <c r="BF100" s="10">
        <v>1</v>
      </c>
      <c r="BG100" s="10">
        <v>2</v>
      </c>
      <c r="BH100" s="10">
        <v>0</v>
      </c>
      <c r="BI100" s="10">
        <v>0</v>
      </c>
      <c r="BJ100" s="10">
        <v>0</v>
      </c>
      <c r="BK100" s="10">
        <v>0</v>
      </c>
      <c r="BL100" s="10">
        <v>0</v>
      </c>
      <c r="BM100" s="10">
        <v>0</v>
      </c>
      <c r="BN100" s="10">
        <v>0</v>
      </c>
      <c r="BO100" s="10">
        <v>1</v>
      </c>
      <c r="BP100" s="10">
        <v>1</v>
      </c>
      <c r="BQ100" s="10">
        <v>0</v>
      </c>
      <c r="BR100" s="10">
        <v>0</v>
      </c>
      <c r="BS100" s="10">
        <v>5</v>
      </c>
    </row>
    <row r="101" spans="1:71" x14ac:dyDescent="0.55000000000000004">
      <c r="A101" s="10">
        <v>392</v>
      </c>
      <c r="B101" s="10">
        <v>2022</v>
      </c>
      <c r="C101" s="10">
        <v>3959</v>
      </c>
      <c r="D101" s="10">
        <v>26285</v>
      </c>
      <c r="E101" s="10">
        <v>11589</v>
      </c>
      <c r="F101" s="10">
        <v>8257</v>
      </c>
      <c r="G101" s="10">
        <v>5258</v>
      </c>
      <c r="H101" s="10">
        <v>1767</v>
      </c>
      <c r="I101" s="10">
        <v>6473</v>
      </c>
      <c r="J101" s="10">
        <v>0</v>
      </c>
      <c r="K101" s="10">
        <v>0</v>
      </c>
      <c r="L101" s="10">
        <v>3829</v>
      </c>
      <c r="M101" s="10">
        <v>6227</v>
      </c>
      <c r="N101" s="10">
        <v>0</v>
      </c>
      <c r="O101" s="10">
        <v>4514</v>
      </c>
      <c r="P101" s="10">
        <v>4791</v>
      </c>
      <c r="Q101" s="10">
        <v>578</v>
      </c>
      <c r="R101" s="10">
        <v>8019</v>
      </c>
      <c r="S101" s="10">
        <v>60161</v>
      </c>
      <c r="T101" s="10">
        <v>31385</v>
      </c>
      <c r="U101" s="10">
        <v>18.584491033089165</v>
      </c>
      <c r="V101" s="10">
        <v>21.779189651892715</v>
      </c>
      <c r="W101" s="10">
        <v>34.701865115949225</v>
      </c>
      <c r="X101" s="10">
        <v>18.588834239364914</v>
      </c>
      <c r="Y101" s="10">
        <v>33.101247426426063</v>
      </c>
      <c r="Z101" s="10">
        <v>17.794028147584633</v>
      </c>
      <c r="AA101" s="10">
        <v>19.312393887945671</v>
      </c>
      <c r="AB101" s="10">
        <v>34.101344044492507</v>
      </c>
      <c r="AC101" s="10">
        <v>51.207121364092274</v>
      </c>
      <c r="AD101" s="10">
        <v>0</v>
      </c>
      <c r="AE101" s="10">
        <v>19.584486811177854</v>
      </c>
      <c r="AF101" s="10">
        <v>41.304801670146141</v>
      </c>
      <c r="AG101" s="10">
        <v>0</v>
      </c>
      <c r="AH101" s="10">
        <v>20.745458573327426</v>
      </c>
      <c r="AI101" s="10">
        <v>40.439782926320184</v>
      </c>
      <c r="AJ101" s="10">
        <v>62.998623221661312</v>
      </c>
      <c r="AK101" s="10">
        <v>30.396193771626297</v>
      </c>
      <c r="AL101" s="10">
        <v>20.340316747724152</v>
      </c>
      <c r="AM101" s="10">
        <v>35.470588235294116</v>
      </c>
      <c r="AN101" s="10">
        <v>2</v>
      </c>
      <c r="AO101" s="10">
        <v>4</v>
      </c>
      <c r="AP101" s="10">
        <v>10</v>
      </c>
      <c r="AQ101" s="10">
        <v>3</v>
      </c>
      <c r="AR101" s="10">
        <v>1</v>
      </c>
      <c r="AS101" s="10">
        <v>1</v>
      </c>
      <c r="AT101" s="10">
        <v>1</v>
      </c>
      <c r="AU101" s="10">
        <v>3</v>
      </c>
      <c r="AV101" s="10">
        <v>0</v>
      </c>
      <c r="AW101" s="10">
        <v>2</v>
      </c>
      <c r="AX101" s="10">
        <v>1</v>
      </c>
      <c r="AY101" s="10">
        <v>0</v>
      </c>
      <c r="AZ101" s="10">
        <v>2</v>
      </c>
      <c r="BA101" s="10">
        <v>0</v>
      </c>
      <c r="BB101" s="10">
        <v>3</v>
      </c>
      <c r="BC101" s="10">
        <v>33</v>
      </c>
      <c r="BD101" s="10">
        <v>1</v>
      </c>
      <c r="BE101" s="10">
        <v>0</v>
      </c>
      <c r="BF101" s="10">
        <v>3</v>
      </c>
      <c r="BG101" s="10">
        <v>14</v>
      </c>
      <c r="BH101" s="10">
        <v>3</v>
      </c>
      <c r="BI101" s="10">
        <v>0</v>
      </c>
      <c r="BJ101" s="10">
        <v>2</v>
      </c>
      <c r="BK101" s="10">
        <v>1</v>
      </c>
      <c r="BL101" s="10">
        <v>0</v>
      </c>
      <c r="BM101" s="10">
        <v>0</v>
      </c>
      <c r="BN101" s="10">
        <v>1</v>
      </c>
      <c r="BO101" s="10">
        <v>0</v>
      </c>
      <c r="BP101" s="10">
        <v>0</v>
      </c>
      <c r="BQ101" s="10">
        <v>0</v>
      </c>
      <c r="BR101" s="10">
        <v>0</v>
      </c>
      <c r="BS101" s="10">
        <v>25</v>
      </c>
    </row>
    <row r="102" spans="1:71" x14ac:dyDescent="0.55000000000000004">
      <c r="A102" s="10">
        <v>766</v>
      </c>
      <c r="B102" s="10">
        <v>2022</v>
      </c>
      <c r="C102" s="10">
        <v>4333</v>
      </c>
      <c r="D102" s="10">
        <v>26529</v>
      </c>
      <c r="E102" s="10">
        <v>14489</v>
      </c>
      <c r="F102" s="10">
        <v>2819</v>
      </c>
      <c r="G102" s="10">
        <v>7087</v>
      </c>
      <c r="H102" s="10">
        <v>1355</v>
      </c>
      <c r="I102" s="10">
        <v>6529</v>
      </c>
      <c r="J102" s="10">
        <v>0</v>
      </c>
      <c r="K102" s="10">
        <v>0</v>
      </c>
      <c r="L102" s="10">
        <v>2688</v>
      </c>
      <c r="M102" s="10">
        <v>4656</v>
      </c>
      <c r="N102" s="10">
        <v>0</v>
      </c>
      <c r="O102" s="10">
        <v>3105</v>
      </c>
      <c r="P102" s="10">
        <v>12374</v>
      </c>
      <c r="Q102" s="10">
        <v>928</v>
      </c>
      <c r="R102" s="10">
        <v>1434</v>
      </c>
      <c r="S102" s="10">
        <v>59471</v>
      </c>
      <c r="T102" s="10">
        <v>28855</v>
      </c>
      <c r="U102" s="10">
        <v>21.937687514424184</v>
      </c>
      <c r="V102" s="10">
        <v>24.000452335180366</v>
      </c>
      <c r="W102" s="10">
        <v>34.253294289897511</v>
      </c>
      <c r="X102" s="10">
        <v>0</v>
      </c>
      <c r="Y102" s="10">
        <v>0</v>
      </c>
      <c r="Z102" s="10">
        <v>0</v>
      </c>
      <c r="AA102" s="10">
        <v>0</v>
      </c>
      <c r="AB102" s="10">
        <v>28.942717108286107</v>
      </c>
      <c r="AC102" s="10">
        <v>50.782828282828284</v>
      </c>
      <c r="AD102" s="10">
        <v>0</v>
      </c>
      <c r="AE102" s="10">
        <v>23.8515625</v>
      </c>
      <c r="AF102" s="10">
        <v>47.135738831615114</v>
      </c>
      <c r="AG102" s="10">
        <v>0</v>
      </c>
      <c r="AH102" s="10">
        <v>0</v>
      </c>
      <c r="AI102" s="10">
        <v>46.051317278163893</v>
      </c>
      <c r="AJ102" s="10">
        <v>64.340909090909093</v>
      </c>
      <c r="AK102" s="10">
        <v>27.287715517241381</v>
      </c>
      <c r="AL102" s="10">
        <v>27.57949790794979</v>
      </c>
      <c r="AM102" s="10">
        <v>0</v>
      </c>
      <c r="AN102" s="10">
        <v>1</v>
      </c>
      <c r="AO102" s="10">
        <v>0</v>
      </c>
      <c r="AP102" s="10">
        <v>8</v>
      </c>
      <c r="AQ102" s="10">
        <v>7</v>
      </c>
      <c r="AR102" s="10">
        <v>5</v>
      </c>
      <c r="AS102" s="10">
        <v>1</v>
      </c>
      <c r="AT102" s="10">
        <v>2</v>
      </c>
      <c r="AU102" s="10">
        <v>3</v>
      </c>
      <c r="AV102" s="10">
        <v>0</v>
      </c>
      <c r="AW102" s="10">
        <v>1</v>
      </c>
      <c r="AX102" s="10">
        <v>2</v>
      </c>
      <c r="AY102" s="10">
        <v>0</v>
      </c>
      <c r="AZ102" s="10">
        <v>6</v>
      </c>
      <c r="BA102" s="10">
        <v>1</v>
      </c>
      <c r="BB102" s="10">
        <v>0</v>
      </c>
      <c r="BC102" s="10">
        <v>37</v>
      </c>
      <c r="BD102" s="10">
        <v>1</v>
      </c>
      <c r="BE102" s="10">
        <v>0</v>
      </c>
      <c r="BF102" s="10">
        <v>5</v>
      </c>
      <c r="BG102" s="10">
        <v>2</v>
      </c>
      <c r="BH102" s="10">
        <v>1</v>
      </c>
      <c r="BI102" s="10">
        <v>0</v>
      </c>
      <c r="BJ102" s="10">
        <v>0</v>
      </c>
      <c r="BK102" s="10">
        <v>1</v>
      </c>
      <c r="BL102" s="10">
        <v>0</v>
      </c>
      <c r="BM102" s="10">
        <v>0</v>
      </c>
      <c r="BN102" s="10">
        <v>0</v>
      </c>
      <c r="BO102" s="10">
        <v>0</v>
      </c>
      <c r="BP102" s="10">
        <v>1</v>
      </c>
      <c r="BQ102" s="10">
        <v>0</v>
      </c>
      <c r="BR102" s="10">
        <v>1</v>
      </c>
      <c r="BS102" s="10">
        <v>12</v>
      </c>
    </row>
    <row r="103" spans="1:71" x14ac:dyDescent="0.55000000000000004">
      <c r="A103" s="10">
        <v>967</v>
      </c>
      <c r="B103" s="10">
        <v>2022</v>
      </c>
      <c r="C103" s="10">
        <v>1876</v>
      </c>
      <c r="D103" s="10">
        <v>26591</v>
      </c>
      <c r="E103" s="10">
        <v>10199</v>
      </c>
      <c r="F103" s="10">
        <v>6240</v>
      </c>
      <c r="G103" s="10">
        <v>0</v>
      </c>
      <c r="H103" s="10">
        <v>0</v>
      </c>
      <c r="I103" s="10">
        <v>10338</v>
      </c>
      <c r="J103" s="10">
        <v>0</v>
      </c>
      <c r="K103" s="10">
        <v>0</v>
      </c>
      <c r="L103" s="10">
        <v>1747</v>
      </c>
      <c r="M103" s="10">
        <v>4769</v>
      </c>
      <c r="N103" s="10">
        <v>0</v>
      </c>
      <c r="O103" s="10">
        <v>1994</v>
      </c>
      <c r="P103" s="10">
        <v>11215</v>
      </c>
      <c r="Q103" s="10">
        <v>2235</v>
      </c>
      <c r="R103" s="10">
        <v>3740</v>
      </c>
      <c r="S103" s="10">
        <v>62511</v>
      </c>
      <c r="T103" s="10">
        <v>18433</v>
      </c>
      <c r="U103" s="10">
        <v>25.043176972281447</v>
      </c>
      <c r="V103" s="10">
        <v>25.12485427400248</v>
      </c>
      <c r="W103" s="10">
        <v>0</v>
      </c>
      <c r="X103" s="10">
        <v>22.846847730169625</v>
      </c>
      <c r="Y103" s="10">
        <v>26.963141025641026</v>
      </c>
      <c r="Z103" s="10">
        <v>0</v>
      </c>
      <c r="AA103" s="10">
        <v>0</v>
      </c>
      <c r="AB103" s="10">
        <v>33.580383052814859</v>
      </c>
      <c r="AC103" s="10">
        <v>0</v>
      </c>
      <c r="AD103" s="10">
        <v>0</v>
      </c>
      <c r="AE103" s="10">
        <v>24.862049227246711</v>
      </c>
      <c r="AF103" s="10">
        <v>42.30320821975257</v>
      </c>
      <c r="AG103" s="10">
        <v>0</v>
      </c>
      <c r="AH103" s="10">
        <v>30.807422266800401</v>
      </c>
      <c r="AI103" s="10">
        <v>43.153901025412388</v>
      </c>
      <c r="AJ103" s="10">
        <v>0</v>
      </c>
      <c r="AK103" s="10">
        <v>26.37762863534676</v>
      </c>
      <c r="AL103" s="10">
        <v>24.398663101604274</v>
      </c>
      <c r="AM103" s="10">
        <v>0</v>
      </c>
      <c r="AN103" s="10">
        <v>1</v>
      </c>
      <c r="AO103" s="10">
        <v>3</v>
      </c>
      <c r="AP103" s="10">
        <v>8</v>
      </c>
      <c r="AQ103" s="10">
        <v>5</v>
      </c>
      <c r="AR103" s="10">
        <v>0</v>
      </c>
      <c r="AS103" s="10">
        <v>0</v>
      </c>
      <c r="AT103" s="10">
        <v>2</v>
      </c>
      <c r="AU103" s="10">
        <v>1</v>
      </c>
      <c r="AV103" s="10">
        <v>0</v>
      </c>
      <c r="AW103" s="10">
        <v>0</v>
      </c>
      <c r="AX103" s="10">
        <v>3</v>
      </c>
      <c r="AY103" s="10">
        <v>0</v>
      </c>
      <c r="AZ103" s="10">
        <v>3</v>
      </c>
      <c r="BA103" s="10">
        <v>1</v>
      </c>
      <c r="BB103" s="10">
        <v>1</v>
      </c>
      <c r="BC103" s="10">
        <v>28</v>
      </c>
      <c r="BD103" s="10">
        <v>0</v>
      </c>
      <c r="BE103" s="10">
        <v>0</v>
      </c>
      <c r="BF103" s="10">
        <v>16</v>
      </c>
      <c r="BG103" s="10">
        <v>1</v>
      </c>
      <c r="BH103" s="10">
        <v>0</v>
      </c>
      <c r="BI103" s="10">
        <v>0</v>
      </c>
      <c r="BJ103" s="10">
        <v>4</v>
      </c>
      <c r="BK103" s="10">
        <v>0</v>
      </c>
      <c r="BL103" s="10">
        <v>0</v>
      </c>
      <c r="BM103" s="10">
        <v>0</v>
      </c>
      <c r="BN103" s="10">
        <v>0</v>
      </c>
      <c r="BO103" s="10">
        <v>0</v>
      </c>
      <c r="BP103" s="10">
        <v>1</v>
      </c>
      <c r="BQ103" s="10">
        <v>0</v>
      </c>
      <c r="BR103" s="10">
        <v>0</v>
      </c>
      <c r="BS103" s="10">
        <v>22</v>
      </c>
    </row>
    <row r="104" spans="1:71" x14ac:dyDescent="0.55000000000000004">
      <c r="A104" s="10">
        <v>185</v>
      </c>
      <c r="B104" s="10">
        <v>2022</v>
      </c>
      <c r="C104" s="10">
        <v>4685</v>
      </c>
      <c r="D104" s="10">
        <v>26661</v>
      </c>
      <c r="E104" s="10">
        <v>22672</v>
      </c>
      <c r="F104" s="10">
        <v>7647</v>
      </c>
      <c r="G104" s="10">
        <v>6943</v>
      </c>
      <c r="H104" s="10">
        <v>3706</v>
      </c>
      <c r="I104" s="10">
        <v>4579</v>
      </c>
      <c r="J104" s="10">
        <v>0</v>
      </c>
      <c r="K104" s="10">
        <v>0</v>
      </c>
      <c r="L104" s="10">
        <v>2933</v>
      </c>
      <c r="M104" s="10">
        <v>7511</v>
      </c>
      <c r="N104" s="10">
        <v>0</v>
      </c>
      <c r="O104" s="10">
        <v>2036</v>
      </c>
      <c r="P104" s="10">
        <v>11813</v>
      </c>
      <c r="Q104" s="10">
        <v>1852</v>
      </c>
      <c r="R104" s="10">
        <v>4363</v>
      </c>
      <c r="S104" s="10">
        <v>64397</v>
      </c>
      <c r="T104" s="10">
        <v>43004</v>
      </c>
      <c r="U104" s="10">
        <v>19.005122732123798</v>
      </c>
      <c r="V104" s="10">
        <v>24.978432916994862</v>
      </c>
      <c r="W104" s="10">
        <v>33.618874384763537</v>
      </c>
      <c r="X104" s="10">
        <v>11.34522759350741</v>
      </c>
      <c r="Y104" s="10">
        <v>23.832091016084739</v>
      </c>
      <c r="Z104" s="10">
        <v>18.312112919487255</v>
      </c>
      <c r="AA104" s="10">
        <v>16.231246627091203</v>
      </c>
      <c r="AB104" s="10">
        <v>32.442017907840139</v>
      </c>
      <c r="AC104" s="10">
        <v>50.463063063063061</v>
      </c>
      <c r="AD104" s="10">
        <v>0</v>
      </c>
      <c r="AE104" s="10">
        <v>24.784520968291851</v>
      </c>
      <c r="AF104" s="10">
        <v>42.337638130741581</v>
      </c>
      <c r="AG104" s="10">
        <v>0</v>
      </c>
      <c r="AH104" s="10">
        <v>11.956777996070727</v>
      </c>
      <c r="AI104" s="10">
        <v>43.164987725387284</v>
      </c>
      <c r="AJ104" s="10">
        <v>61.693704600484267</v>
      </c>
      <c r="AK104" s="10">
        <v>25.200863930885532</v>
      </c>
      <c r="AL104" s="10">
        <v>21.491863396745359</v>
      </c>
      <c r="AM104" s="10">
        <v>36.625</v>
      </c>
      <c r="AN104" s="10">
        <v>1</v>
      </c>
      <c r="AO104" s="10">
        <v>3</v>
      </c>
      <c r="AP104" s="10">
        <v>11</v>
      </c>
      <c r="AQ104" s="10">
        <v>7</v>
      </c>
      <c r="AR104" s="10">
        <v>0</v>
      </c>
      <c r="AS104" s="10">
        <v>0</v>
      </c>
      <c r="AT104" s="10">
        <v>0</v>
      </c>
      <c r="AU104" s="10">
        <v>1</v>
      </c>
      <c r="AV104" s="10">
        <v>0</v>
      </c>
      <c r="AW104" s="10">
        <v>2</v>
      </c>
      <c r="AX104" s="10">
        <v>5</v>
      </c>
      <c r="AY104" s="10">
        <v>0</v>
      </c>
      <c r="AZ104" s="10">
        <v>2</v>
      </c>
      <c r="BA104" s="10">
        <v>1</v>
      </c>
      <c r="BB104" s="10">
        <v>0</v>
      </c>
      <c r="BC104" s="10">
        <v>33</v>
      </c>
      <c r="BD104" s="10">
        <v>3</v>
      </c>
      <c r="BE104" s="10">
        <v>1</v>
      </c>
      <c r="BF104" s="10">
        <v>6</v>
      </c>
      <c r="BG104" s="10">
        <v>8</v>
      </c>
      <c r="BH104" s="10">
        <v>0</v>
      </c>
      <c r="BI104" s="10">
        <v>0</v>
      </c>
      <c r="BJ104" s="10">
        <v>2</v>
      </c>
      <c r="BK104" s="10">
        <v>0</v>
      </c>
      <c r="BL104" s="10">
        <v>0</v>
      </c>
      <c r="BM104" s="10">
        <v>0</v>
      </c>
      <c r="BN104" s="10">
        <v>0</v>
      </c>
      <c r="BO104" s="10">
        <v>0</v>
      </c>
      <c r="BP104" s="10">
        <v>1</v>
      </c>
      <c r="BQ104" s="10">
        <v>0</v>
      </c>
      <c r="BR104" s="10">
        <v>0</v>
      </c>
      <c r="BS104" s="10">
        <v>21</v>
      </c>
    </row>
    <row r="105" spans="1:71" x14ac:dyDescent="0.55000000000000004">
      <c r="A105" s="10">
        <v>923</v>
      </c>
      <c r="B105" s="10">
        <v>2022</v>
      </c>
      <c r="C105" s="10">
        <v>3881</v>
      </c>
      <c r="D105" s="10">
        <v>26668</v>
      </c>
      <c r="E105" s="10">
        <v>8629</v>
      </c>
      <c r="F105" s="10">
        <v>5012</v>
      </c>
      <c r="G105" s="10">
        <v>3824</v>
      </c>
      <c r="H105" s="10">
        <v>2347</v>
      </c>
      <c r="I105" s="10">
        <v>4243</v>
      </c>
      <c r="J105" s="10">
        <v>0</v>
      </c>
      <c r="K105" s="10">
        <v>0</v>
      </c>
      <c r="L105" s="10">
        <v>2705</v>
      </c>
      <c r="M105" s="10">
        <v>5173</v>
      </c>
      <c r="N105" s="10">
        <v>0</v>
      </c>
      <c r="O105" s="10">
        <v>570</v>
      </c>
      <c r="P105" s="10">
        <v>14501</v>
      </c>
      <c r="Q105" s="10">
        <v>1920</v>
      </c>
      <c r="R105" s="10">
        <v>93</v>
      </c>
      <c r="S105" s="10">
        <v>59184</v>
      </c>
      <c r="T105" s="10">
        <v>20382</v>
      </c>
      <c r="U105" s="10">
        <v>18.17675856737954</v>
      </c>
      <c r="V105" s="10">
        <v>21.526661166941651</v>
      </c>
      <c r="W105" s="10">
        <v>0</v>
      </c>
      <c r="X105" s="10">
        <v>18.081353575153553</v>
      </c>
      <c r="Y105" s="10">
        <v>30.899441340782126</v>
      </c>
      <c r="Z105" s="10">
        <v>20.252353556485357</v>
      </c>
      <c r="AA105" s="10">
        <v>18.249680443118876</v>
      </c>
      <c r="AB105" s="10">
        <v>27.069054913975961</v>
      </c>
      <c r="AC105" s="10">
        <v>0</v>
      </c>
      <c r="AD105" s="10">
        <v>0</v>
      </c>
      <c r="AE105" s="10">
        <v>15.31608133086876</v>
      </c>
      <c r="AF105" s="10">
        <v>44.374637541078677</v>
      </c>
      <c r="AG105" s="10">
        <v>0</v>
      </c>
      <c r="AH105" s="10">
        <v>26.296491228070174</v>
      </c>
      <c r="AI105" s="10">
        <v>39.919867595338246</v>
      </c>
      <c r="AJ105" s="10">
        <v>0</v>
      </c>
      <c r="AK105" s="10">
        <v>20.780208333333334</v>
      </c>
      <c r="AL105" s="10">
        <v>6.3010752688172049</v>
      </c>
      <c r="AM105" s="10">
        <v>0</v>
      </c>
      <c r="AN105" s="10">
        <v>1</v>
      </c>
      <c r="AO105" s="10">
        <v>2</v>
      </c>
      <c r="AP105" s="10">
        <v>6</v>
      </c>
      <c r="AQ105" s="10">
        <v>5</v>
      </c>
      <c r="AR105" s="10">
        <v>0</v>
      </c>
      <c r="AS105" s="10">
        <v>0</v>
      </c>
      <c r="AT105" s="10">
        <v>1</v>
      </c>
      <c r="AU105" s="10">
        <v>1</v>
      </c>
      <c r="AV105" s="10">
        <v>0</v>
      </c>
      <c r="AW105" s="10">
        <v>2</v>
      </c>
      <c r="AX105" s="10">
        <v>3</v>
      </c>
      <c r="AY105" s="10">
        <v>0</v>
      </c>
      <c r="AZ105" s="10">
        <v>4</v>
      </c>
      <c r="BA105" s="10">
        <v>1</v>
      </c>
      <c r="BB105" s="10">
        <v>0</v>
      </c>
      <c r="BC105" s="10">
        <v>26</v>
      </c>
      <c r="BD105" s="10">
        <v>2</v>
      </c>
      <c r="BE105" s="10">
        <v>0</v>
      </c>
      <c r="BF105" s="10">
        <v>8</v>
      </c>
      <c r="BG105" s="10">
        <v>7</v>
      </c>
      <c r="BH105" s="10">
        <v>0</v>
      </c>
      <c r="BI105" s="10">
        <v>0</v>
      </c>
      <c r="BJ105" s="10">
        <v>3</v>
      </c>
      <c r="BK105" s="10">
        <v>0</v>
      </c>
      <c r="BL105" s="10">
        <v>0</v>
      </c>
      <c r="BM105" s="10">
        <v>0</v>
      </c>
      <c r="BN105" s="10">
        <v>0</v>
      </c>
      <c r="BO105" s="10">
        <v>1</v>
      </c>
      <c r="BP105" s="10">
        <v>2</v>
      </c>
      <c r="BQ105" s="10">
        <v>0</v>
      </c>
      <c r="BR105" s="10">
        <v>0</v>
      </c>
      <c r="BS105" s="10">
        <v>23</v>
      </c>
    </row>
    <row r="106" spans="1:71" x14ac:dyDescent="0.55000000000000004">
      <c r="A106" s="10">
        <v>919</v>
      </c>
      <c r="B106" s="10">
        <v>2022</v>
      </c>
      <c r="C106" s="10">
        <v>6695</v>
      </c>
      <c r="D106" s="10">
        <v>26760</v>
      </c>
      <c r="E106" s="10">
        <v>9971</v>
      </c>
      <c r="F106" s="10">
        <v>1040</v>
      </c>
      <c r="G106" s="10">
        <v>6711</v>
      </c>
      <c r="H106" s="10">
        <v>1680</v>
      </c>
      <c r="I106" s="10">
        <v>4900</v>
      </c>
      <c r="J106" s="10">
        <v>0</v>
      </c>
      <c r="K106" s="10">
        <v>0</v>
      </c>
      <c r="L106" s="10">
        <v>3132</v>
      </c>
      <c r="M106" s="10">
        <v>5605</v>
      </c>
      <c r="N106" s="10">
        <v>0</v>
      </c>
      <c r="O106" s="10">
        <v>1919</v>
      </c>
      <c r="P106" s="10">
        <v>14092</v>
      </c>
      <c r="Q106" s="10">
        <v>2127</v>
      </c>
      <c r="R106" s="10">
        <v>333</v>
      </c>
      <c r="S106" s="10">
        <v>63644</v>
      </c>
      <c r="T106" s="10">
        <v>21321</v>
      </c>
      <c r="U106" s="10">
        <v>18.999551904406271</v>
      </c>
      <c r="V106" s="10">
        <v>23.390769805680119</v>
      </c>
      <c r="W106" s="10">
        <v>33.325757575757578</v>
      </c>
      <c r="X106" s="10">
        <v>19.273593420920669</v>
      </c>
      <c r="Y106" s="10">
        <v>54.228846153846149</v>
      </c>
      <c r="Z106" s="10">
        <v>17.199523170913423</v>
      </c>
      <c r="AA106" s="10">
        <v>15.357142857142858</v>
      </c>
      <c r="AB106" s="10">
        <v>37.851836734693876</v>
      </c>
      <c r="AC106" s="10">
        <v>46.25</v>
      </c>
      <c r="AD106" s="10">
        <v>0</v>
      </c>
      <c r="AE106" s="10">
        <v>22.511494252873561</v>
      </c>
      <c r="AF106" s="10">
        <v>36.637823371989292</v>
      </c>
      <c r="AG106" s="10">
        <v>0</v>
      </c>
      <c r="AH106" s="10">
        <v>19.188118811881189</v>
      </c>
      <c r="AI106" s="10">
        <v>41.789242123190462</v>
      </c>
      <c r="AJ106" s="10">
        <v>61.236238532110093</v>
      </c>
      <c r="AK106" s="10">
        <v>21.261401034320638</v>
      </c>
      <c r="AL106" s="10">
        <v>11.069069069069069</v>
      </c>
      <c r="AM106" s="10">
        <v>0</v>
      </c>
      <c r="AN106" s="10">
        <v>4</v>
      </c>
      <c r="AO106" s="10">
        <v>0</v>
      </c>
      <c r="AP106" s="10">
        <v>8</v>
      </c>
      <c r="AQ106" s="10">
        <v>4</v>
      </c>
      <c r="AR106" s="10">
        <v>3</v>
      </c>
      <c r="AS106" s="10">
        <v>0</v>
      </c>
      <c r="AT106" s="10">
        <v>2</v>
      </c>
      <c r="AU106" s="10">
        <v>1</v>
      </c>
      <c r="AV106" s="10">
        <v>0</v>
      </c>
      <c r="AW106" s="10">
        <v>0</v>
      </c>
      <c r="AX106" s="10">
        <v>2</v>
      </c>
      <c r="AY106" s="10">
        <v>0</v>
      </c>
      <c r="AZ106" s="10">
        <v>5</v>
      </c>
      <c r="BA106" s="10">
        <v>1</v>
      </c>
      <c r="BB106" s="10">
        <v>0</v>
      </c>
      <c r="BC106" s="10">
        <v>30</v>
      </c>
      <c r="BD106" s="10">
        <v>3</v>
      </c>
      <c r="BE106" s="10">
        <v>1</v>
      </c>
      <c r="BF106" s="10">
        <v>6</v>
      </c>
      <c r="BG106" s="10">
        <v>1</v>
      </c>
      <c r="BH106" s="10">
        <v>1</v>
      </c>
      <c r="BI106" s="10">
        <v>2</v>
      </c>
      <c r="BJ106" s="10">
        <v>0</v>
      </c>
      <c r="BK106" s="10">
        <v>0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>
        <v>0</v>
      </c>
      <c r="BR106" s="10">
        <v>2</v>
      </c>
      <c r="BS106" s="10">
        <v>16</v>
      </c>
    </row>
    <row r="107" spans="1:71" x14ac:dyDescent="0.55000000000000004">
      <c r="A107" s="10">
        <v>691</v>
      </c>
      <c r="B107" s="10">
        <v>2022</v>
      </c>
      <c r="C107" s="10">
        <v>3368</v>
      </c>
      <c r="D107" s="10">
        <v>26810</v>
      </c>
      <c r="E107" s="10">
        <v>13055</v>
      </c>
      <c r="F107" s="10">
        <v>8009</v>
      </c>
      <c r="G107" s="10">
        <v>6468</v>
      </c>
      <c r="H107" s="10">
        <v>2907</v>
      </c>
      <c r="I107" s="10">
        <v>6645</v>
      </c>
      <c r="J107" s="10">
        <v>0</v>
      </c>
      <c r="K107" s="10">
        <v>232</v>
      </c>
      <c r="L107" s="10">
        <v>3708</v>
      </c>
      <c r="M107" s="10">
        <v>4363</v>
      </c>
      <c r="N107" s="10">
        <v>0</v>
      </c>
      <c r="O107" s="10">
        <v>4066</v>
      </c>
      <c r="P107" s="10">
        <v>7394</v>
      </c>
      <c r="Q107" s="10">
        <v>2526</v>
      </c>
      <c r="R107" s="10">
        <v>10730</v>
      </c>
      <c r="S107" s="10">
        <v>65776</v>
      </c>
      <c r="T107" s="10">
        <v>34505</v>
      </c>
      <c r="U107" s="10">
        <v>20.448634204275532</v>
      </c>
      <c r="V107" s="10">
        <v>22.735359940320777</v>
      </c>
      <c r="W107" s="10">
        <v>42.279569892473113</v>
      </c>
      <c r="X107" s="10">
        <v>18.035618536959021</v>
      </c>
      <c r="Y107" s="10">
        <v>31.210388313147707</v>
      </c>
      <c r="Z107" s="10">
        <v>16.775974025974026</v>
      </c>
      <c r="AA107" s="10">
        <v>14.408668730650156</v>
      </c>
      <c r="AB107" s="10">
        <v>27.431000752445446</v>
      </c>
      <c r="AC107" s="10">
        <v>55.920552677029363</v>
      </c>
      <c r="AD107" s="10">
        <v>16.982758620689655</v>
      </c>
      <c r="AE107" s="10">
        <v>21.33225458468177</v>
      </c>
      <c r="AF107" s="10">
        <v>42.495530598212234</v>
      </c>
      <c r="AG107" s="10">
        <v>0</v>
      </c>
      <c r="AH107" s="10">
        <v>21.939990162321692</v>
      </c>
      <c r="AI107" s="10">
        <v>40.563429807952389</v>
      </c>
      <c r="AJ107" s="10">
        <v>58.234636871508386</v>
      </c>
      <c r="AK107" s="10">
        <v>23.435471100554235</v>
      </c>
      <c r="AL107" s="10">
        <v>26.015284249767003</v>
      </c>
      <c r="AM107" s="10">
        <v>37.474048442906572</v>
      </c>
      <c r="AN107" s="10">
        <v>1</v>
      </c>
      <c r="AO107" s="10">
        <v>4</v>
      </c>
      <c r="AP107" s="10">
        <v>4</v>
      </c>
      <c r="AQ107" s="10">
        <v>3</v>
      </c>
      <c r="AR107" s="10">
        <v>0</v>
      </c>
      <c r="AS107" s="10">
        <v>0</v>
      </c>
      <c r="AT107" s="10">
        <v>1</v>
      </c>
      <c r="AU107" s="10">
        <v>2</v>
      </c>
      <c r="AV107" s="10">
        <v>0</v>
      </c>
      <c r="AW107" s="10">
        <v>2</v>
      </c>
      <c r="AX107" s="10">
        <v>3</v>
      </c>
      <c r="AY107" s="10">
        <v>0</v>
      </c>
      <c r="AZ107" s="10">
        <v>1</v>
      </c>
      <c r="BA107" s="10">
        <v>1</v>
      </c>
      <c r="BB107" s="10">
        <v>5</v>
      </c>
      <c r="BC107" s="10">
        <v>27</v>
      </c>
      <c r="BD107" s="10">
        <v>1</v>
      </c>
      <c r="BE107" s="10">
        <v>0</v>
      </c>
      <c r="BF107" s="10">
        <v>9</v>
      </c>
      <c r="BG107" s="10">
        <v>5</v>
      </c>
      <c r="BH107" s="10">
        <v>0</v>
      </c>
      <c r="BI107" s="10">
        <v>0</v>
      </c>
      <c r="BJ107" s="10">
        <v>1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1</v>
      </c>
      <c r="BQ107" s="10">
        <v>0</v>
      </c>
      <c r="BR107" s="10">
        <v>1</v>
      </c>
      <c r="BS107" s="10">
        <v>18</v>
      </c>
    </row>
    <row r="108" spans="1:71" x14ac:dyDescent="0.55000000000000004">
      <c r="A108" s="10">
        <v>360</v>
      </c>
      <c r="B108" s="10">
        <v>2022</v>
      </c>
      <c r="C108" s="10">
        <v>2353</v>
      </c>
      <c r="D108" s="10">
        <v>27014</v>
      </c>
      <c r="E108" s="10">
        <v>12949</v>
      </c>
      <c r="F108" s="10">
        <v>3672</v>
      </c>
      <c r="G108" s="10">
        <v>0</v>
      </c>
      <c r="H108" s="10">
        <v>0</v>
      </c>
      <c r="I108" s="10">
        <v>13852</v>
      </c>
      <c r="J108" s="10">
        <v>500</v>
      </c>
      <c r="K108" s="10">
        <v>0</v>
      </c>
      <c r="L108" s="10">
        <v>5816</v>
      </c>
      <c r="M108" s="10">
        <v>5253</v>
      </c>
      <c r="N108" s="10">
        <v>0</v>
      </c>
      <c r="O108" s="10">
        <v>2284</v>
      </c>
      <c r="P108" s="10">
        <v>10013</v>
      </c>
      <c r="Q108" s="10">
        <v>1795</v>
      </c>
      <c r="R108" s="10">
        <v>0</v>
      </c>
      <c r="S108" s="10">
        <v>66596</v>
      </c>
      <c r="T108" s="10">
        <v>18905</v>
      </c>
      <c r="U108" s="10">
        <v>21.173820654483638</v>
      </c>
      <c r="V108" s="10">
        <v>22.571999703857262</v>
      </c>
      <c r="W108" s="10">
        <v>33.039344262295081</v>
      </c>
      <c r="X108" s="10">
        <v>18.856050660282644</v>
      </c>
      <c r="Y108" s="10">
        <v>38.25816993464052</v>
      </c>
      <c r="Z108" s="10">
        <v>0</v>
      </c>
      <c r="AA108" s="10">
        <v>0</v>
      </c>
      <c r="AB108" s="10">
        <v>32.113196650303202</v>
      </c>
      <c r="AC108" s="10">
        <v>50.237860661505977</v>
      </c>
      <c r="AD108" s="10">
        <v>0</v>
      </c>
      <c r="AE108" s="10">
        <v>21.916953232462173</v>
      </c>
      <c r="AF108" s="10">
        <v>48.851513420902343</v>
      </c>
      <c r="AG108" s="10">
        <v>0</v>
      </c>
      <c r="AH108" s="10">
        <v>24.444833625218912</v>
      </c>
      <c r="AI108" s="10">
        <v>40.092280035953259</v>
      </c>
      <c r="AJ108" s="10">
        <v>61.978827361563518</v>
      </c>
      <c r="AK108" s="10">
        <v>79.476323119777163</v>
      </c>
      <c r="AL108" s="10">
        <v>0</v>
      </c>
      <c r="AM108" s="10">
        <v>33.606557377049178</v>
      </c>
      <c r="AN108" s="10">
        <v>1</v>
      </c>
      <c r="AO108" s="10">
        <v>2</v>
      </c>
      <c r="AP108" s="10">
        <v>6</v>
      </c>
      <c r="AQ108" s="10">
        <v>5</v>
      </c>
      <c r="AR108" s="10">
        <v>0</v>
      </c>
      <c r="AS108" s="10">
        <v>0</v>
      </c>
      <c r="AT108" s="10">
        <v>4</v>
      </c>
      <c r="AU108" s="10">
        <v>1</v>
      </c>
      <c r="AV108" s="10">
        <v>0</v>
      </c>
      <c r="AW108" s="10">
        <v>2</v>
      </c>
      <c r="AX108" s="10">
        <v>3</v>
      </c>
      <c r="AY108" s="10">
        <v>0</v>
      </c>
      <c r="AZ108" s="10">
        <v>3</v>
      </c>
      <c r="BA108" s="10">
        <v>2</v>
      </c>
      <c r="BB108" s="10">
        <v>0</v>
      </c>
      <c r="BC108" s="10">
        <v>29</v>
      </c>
      <c r="BD108" s="10">
        <v>1</v>
      </c>
      <c r="BE108" s="10">
        <v>0</v>
      </c>
      <c r="BF108" s="10">
        <v>1</v>
      </c>
      <c r="BG108" s="10">
        <v>2</v>
      </c>
      <c r="BH108" s="10">
        <v>0</v>
      </c>
      <c r="BI108" s="10">
        <v>0</v>
      </c>
      <c r="BJ108" s="10">
        <v>1</v>
      </c>
      <c r="BK108" s="10">
        <v>0</v>
      </c>
      <c r="BL108" s="10">
        <v>0</v>
      </c>
      <c r="BM108" s="10">
        <v>0</v>
      </c>
      <c r="BN108" s="10">
        <v>0</v>
      </c>
      <c r="BO108" s="10">
        <v>0</v>
      </c>
      <c r="BP108" s="10">
        <v>1</v>
      </c>
      <c r="BQ108" s="10">
        <v>0</v>
      </c>
      <c r="BR108" s="10">
        <v>0</v>
      </c>
      <c r="BS108" s="10">
        <v>6</v>
      </c>
    </row>
    <row r="109" spans="1:71" x14ac:dyDescent="0.55000000000000004">
      <c r="A109" s="10">
        <v>343</v>
      </c>
      <c r="B109" s="10">
        <v>2022</v>
      </c>
      <c r="C109" s="10">
        <v>7461</v>
      </c>
      <c r="D109" s="10">
        <v>27130</v>
      </c>
      <c r="E109" s="10">
        <v>20933</v>
      </c>
      <c r="F109" s="10">
        <v>5456</v>
      </c>
      <c r="G109" s="10">
        <v>6966</v>
      </c>
      <c r="H109" s="10">
        <v>4302</v>
      </c>
      <c r="I109" s="10">
        <v>3518</v>
      </c>
      <c r="J109" s="10">
        <v>0</v>
      </c>
      <c r="K109" s="10">
        <v>0</v>
      </c>
      <c r="L109" s="10">
        <v>0</v>
      </c>
      <c r="M109" s="10">
        <v>4381</v>
      </c>
      <c r="N109" s="10">
        <v>159</v>
      </c>
      <c r="O109" s="10">
        <v>2682</v>
      </c>
      <c r="P109" s="10">
        <v>7304</v>
      </c>
      <c r="Q109" s="10">
        <v>1607</v>
      </c>
      <c r="R109" s="10">
        <v>10038</v>
      </c>
      <c r="S109" s="10">
        <v>61598</v>
      </c>
      <c r="T109" s="10">
        <v>40339</v>
      </c>
      <c r="U109" s="10">
        <v>17.301300093821201</v>
      </c>
      <c r="V109" s="10">
        <v>22.509067453004054</v>
      </c>
      <c r="W109" s="10">
        <v>53.385911179173043</v>
      </c>
      <c r="X109" s="10">
        <v>15.18134046720489</v>
      </c>
      <c r="Y109" s="10">
        <v>20.004398826979475</v>
      </c>
      <c r="Z109" s="10">
        <v>20.313953488372093</v>
      </c>
      <c r="AA109" s="10">
        <v>12.589958158995815</v>
      </c>
      <c r="AB109" s="10">
        <v>27.482944855031267</v>
      </c>
      <c r="AC109" s="10">
        <v>0</v>
      </c>
      <c r="AD109" s="10">
        <v>0</v>
      </c>
      <c r="AE109" s="10">
        <v>0</v>
      </c>
      <c r="AF109" s="10">
        <v>31.260671079662178</v>
      </c>
      <c r="AG109" s="10">
        <v>64.622641509433961</v>
      </c>
      <c r="AH109" s="10">
        <v>24.934004474272928</v>
      </c>
      <c r="AI109" s="10">
        <v>33.406900328587078</v>
      </c>
      <c r="AJ109" s="10">
        <v>0</v>
      </c>
      <c r="AK109" s="10">
        <v>22.133167392657125</v>
      </c>
      <c r="AL109" s="10">
        <v>11.182904961147639</v>
      </c>
      <c r="AM109" s="10">
        <v>0</v>
      </c>
      <c r="AN109" s="10">
        <v>5</v>
      </c>
      <c r="AO109" s="10">
        <v>1</v>
      </c>
      <c r="AP109" s="10">
        <v>16</v>
      </c>
      <c r="AQ109" s="10">
        <v>8</v>
      </c>
      <c r="AR109" s="10">
        <v>9</v>
      </c>
      <c r="AS109" s="10">
        <v>1</v>
      </c>
      <c r="AT109" s="10">
        <v>2</v>
      </c>
      <c r="AU109" s="10">
        <v>1</v>
      </c>
      <c r="AV109" s="10">
        <v>0</v>
      </c>
      <c r="AW109" s="10">
        <v>0</v>
      </c>
      <c r="AX109" s="10">
        <v>2</v>
      </c>
      <c r="AY109" s="10">
        <v>0</v>
      </c>
      <c r="AZ109" s="10">
        <v>5</v>
      </c>
      <c r="BA109" s="10">
        <v>1</v>
      </c>
      <c r="BB109" s="10">
        <v>4</v>
      </c>
      <c r="BC109" s="10">
        <v>55</v>
      </c>
      <c r="BD109" s="10">
        <v>0</v>
      </c>
      <c r="BE109" s="10">
        <v>0</v>
      </c>
      <c r="BF109" s="10">
        <v>13</v>
      </c>
      <c r="BG109" s="10">
        <v>7</v>
      </c>
      <c r="BH109" s="10">
        <v>1</v>
      </c>
      <c r="BI109" s="10">
        <v>5</v>
      </c>
      <c r="BJ109" s="10">
        <v>1</v>
      </c>
      <c r="BK109" s="10">
        <v>1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2</v>
      </c>
      <c r="BS109" s="10">
        <v>30</v>
      </c>
    </row>
    <row r="110" spans="1:71" x14ac:dyDescent="0.55000000000000004">
      <c r="A110" s="10" t="e">
        <v>#N/A</v>
      </c>
      <c r="B110" s="10">
        <v>2022</v>
      </c>
      <c r="C110" s="10">
        <v>6780</v>
      </c>
      <c r="D110" s="10">
        <v>27358</v>
      </c>
      <c r="E110" s="10">
        <v>11858</v>
      </c>
      <c r="F110" s="10">
        <v>6007</v>
      </c>
      <c r="G110" s="10">
        <v>7578</v>
      </c>
      <c r="H110" s="10">
        <v>0</v>
      </c>
      <c r="I110" s="10">
        <v>14398</v>
      </c>
      <c r="J110" s="10">
        <v>0</v>
      </c>
      <c r="K110" s="10">
        <v>0</v>
      </c>
      <c r="L110" s="10">
        <v>4661</v>
      </c>
      <c r="M110" s="10">
        <v>6888</v>
      </c>
      <c r="N110" s="10">
        <v>0</v>
      </c>
      <c r="O110" s="10">
        <v>1896</v>
      </c>
      <c r="P110" s="10">
        <v>3257</v>
      </c>
      <c r="Q110" s="10">
        <v>2114</v>
      </c>
      <c r="R110" s="10">
        <v>0</v>
      </c>
      <c r="S110" s="10">
        <v>65456</v>
      </c>
      <c r="T110" s="10">
        <v>27339</v>
      </c>
      <c r="U110" s="10">
        <v>17.718731563421827</v>
      </c>
      <c r="V110" s="10">
        <v>31.450654287594123</v>
      </c>
      <c r="W110" s="10">
        <v>40.335674979510593</v>
      </c>
      <c r="X110" s="10">
        <v>21.167060212514755</v>
      </c>
      <c r="Y110" s="10">
        <v>43.366572332279006</v>
      </c>
      <c r="Z110" s="10">
        <v>17.008181578252838</v>
      </c>
      <c r="AA110" s="10">
        <v>0</v>
      </c>
      <c r="AB110" s="10">
        <v>36.572510070843173</v>
      </c>
      <c r="AC110" s="10">
        <v>58.680522565320665</v>
      </c>
      <c r="AD110" s="10">
        <v>0</v>
      </c>
      <c r="AE110" s="10">
        <v>26.479939927054279</v>
      </c>
      <c r="AF110" s="10">
        <v>51.922183507549356</v>
      </c>
      <c r="AG110" s="10">
        <v>0</v>
      </c>
      <c r="AH110" s="10">
        <v>47.462552742616033</v>
      </c>
      <c r="AI110" s="10">
        <v>47.311022413263743</v>
      </c>
      <c r="AJ110" s="10">
        <v>61.885598923283986</v>
      </c>
      <c r="AK110" s="10">
        <v>27.721381267738884</v>
      </c>
      <c r="AL110" s="10">
        <v>0</v>
      </c>
      <c r="AM110" s="10">
        <v>35.285714285714285</v>
      </c>
      <c r="AN110" s="10">
        <v>2</v>
      </c>
      <c r="AO110" s="10">
        <v>2</v>
      </c>
      <c r="AP110" s="10">
        <v>8</v>
      </c>
      <c r="AQ110" s="10">
        <v>4</v>
      </c>
      <c r="AR110" s="10">
        <v>3</v>
      </c>
      <c r="AS110" s="10">
        <v>0</v>
      </c>
      <c r="AT110" s="10">
        <v>5</v>
      </c>
      <c r="AU110" s="10">
        <v>1</v>
      </c>
      <c r="AV110" s="10">
        <v>0</v>
      </c>
      <c r="AW110" s="10">
        <v>2</v>
      </c>
      <c r="AX110" s="10">
        <v>3</v>
      </c>
      <c r="AY110" s="10">
        <v>0</v>
      </c>
      <c r="AZ110" s="10">
        <v>3</v>
      </c>
      <c r="BA110" s="10">
        <v>1</v>
      </c>
      <c r="BB110" s="10">
        <v>0</v>
      </c>
      <c r="BC110" s="10">
        <v>34</v>
      </c>
      <c r="BD110" s="10">
        <v>2</v>
      </c>
      <c r="BE110" s="10">
        <v>2</v>
      </c>
      <c r="BF110" s="10">
        <v>4</v>
      </c>
      <c r="BG110" s="10">
        <v>2</v>
      </c>
      <c r="BH110" s="10">
        <v>1</v>
      </c>
      <c r="BI110" s="10">
        <v>0</v>
      </c>
      <c r="BJ110" s="10">
        <v>3</v>
      </c>
      <c r="BK110" s="10">
        <v>0</v>
      </c>
      <c r="BL110" s="10">
        <v>0</v>
      </c>
      <c r="BM110" s="10">
        <v>0</v>
      </c>
      <c r="BN110" s="10">
        <v>0</v>
      </c>
      <c r="BO110" s="10">
        <v>0</v>
      </c>
      <c r="BP110" s="10">
        <v>0</v>
      </c>
      <c r="BQ110" s="10">
        <v>0</v>
      </c>
      <c r="BR110" s="10">
        <v>0</v>
      </c>
      <c r="BS110" s="10">
        <v>14</v>
      </c>
    </row>
    <row r="111" spans="1:71" x14ac:dyDescent="0.55000000000000004">
      <c r="A111" s="10">
        <v>590</v>
      </c>
      <c r="B111" s="10">
        <v>2022</v>
      </c>
      <c r="C111" s="10">
        <v>4737</v>
      </c>
      <c r="D111" s="10">
        <v>27375</v>
      </c>
      <c r="E111" s="10">
        <v>15532</v>
      </c>
      <c r="F111" s="10">
        <v>660</v>
      </c>
      <c r="G111" s="10">
        <v>7668</v>
      </c>
      <c r="H111" s="10">
        <v>1144</v>
      </c>
      <c r="I111" s="10">
        <v>13655</v>
      </c>
      <c r="J111" s="10">
        <v>0</v>
      </c>
      <c r="K111" s="10">
        <v>0</v>
      </c>
      <c r="L111" s="10">
        <v>4089</v>
      </c>
      <c r="M111" s="10">
        <v>5021</v>
      </c>
      <c r="N111" s="10">
        <v>0</v>
      </c>
      <c r="O111" s="10">
        <v>2809</v>
      </c>
      <c r="P111" s="10">
        <v>7383</v>
      </c>
      <c r="Q111" s="10">
        <v>2171</v>
      </c>
      <c r="R111" s="10">
        <v>15506</v>
      </c>
      <c r="S111" s="10">
        <v>79937</v>
      </c>
      <c r="T111" s="10">
        <v>27813</v>
      </c>
      <c r="U111" s="10">
        <v>24.686299345577371</v>
      </c>
      <c r="V111" s="10">
        <v>29.806867579908676</v>
      </c>
      <c r="W111" s="10">
        <v>16.71185510428101</v>
      </c>
      <c r="X111" s="10">
        <v>22.656644347154263</v>
      </c>
      <c r="Y111" s="10">
        <v>111.62272727272727</v>
      </c>
      <c r="Z111" s="10">
        <v>19.540818988002087</v>
      </c>
      <c r="AA111" s="10">
        <v>18.063811188811187</v>
      </c>
      <c r="AB111" s="10">
        <v>37.747198828268033</v>
      </c>
      <c r="AC111" s="10">
        <v>56.519466666666666</v>
      </c>
      <c r="AD111" s="10">
        <v>0</v>
      </c>
      <c r="AE111" s="10">
        <v>26.084372707263388</v>
      </c>
      <c r="AF111" s="10">
        <v>54.998805018920535</v>
      </c>
      <c r="AG111" s="10">
        <v>0</v>
      </c>
      <c r="AH111" s="10">
        <v>27.057671769312922</v>
      </c>
      <c r="AI111" s="10">
        <v>59.258973317079771</v>
      </c>
      <c r="AJ111" s="10">
        <v>0</v>
      </c>
      <c r="AK111" s="10">
        <v>33.098572086596036</v>
      </c>
      <c r="AL111" s="10">
        <v>29.306204050045142</v>
      </c>
      <c r="AM111" s="10">
        <v>0</v>
      </c>
      <c r="AN111" s="10">
        <v>2</v>
      </c>
      <c r="AO111" s="10">
        <v>2</v>
      </c>
      <c r="AP111" s="10">
        <v>10</v>
      </c>
      <c r="AQ111" s="10">
        <v>0</v>
      </c>
      <c r="AR111" s="10">
        <v>0</v>
      </c>
      <c r="AS111" s="10">
        <v>0</v>
      </c>
      <c r="AT111" s="10">
        <v>6</v>
      </c>
      <c r="AU111" s="10">
        <v>0</v>
      </c>
      <c r="AV111" s="10">
        <v>0</v>
      </c>
      <c r="AW111" s="10">
        <v>1</v>
      </c>
      <c r="AX111" s="10">
        <v>2</v>
      </c>
      <c r="AY111" s="10">
        <v>0</v>
      </c>
      <c r="AZ111" s="10">
        <v>2</v>
      </c>
      <c r="BA111" s="10">
        <v>1</v>
      </c>
      <c r="BB111" s="10">
        <v>5</v>
      </c>
      <c r="BC111" s="10">
        <v>31</v>
      </c>
      <c r="BD111" s="10">
        <v>1</v>
      </c>
      <c r="BE111" s="10">
        <v>0</v>
      </c>
      <c r="BF111" s="10">
        <v>11</v>
      </c>
      <c r="BG111" s="10">
        <v>0</v>
      </c>
      <c r="BH111" s="10">
        <v>0</v>
      </c>
      <c r="BI111" s="10">
        <v>0</v>
      </c>
      <c r="BJ111" s="10">
        <v>3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  <c r="BR111" s="10">
        <v>0</v>
      </c>
      <c r="BS111" s="10">
        <v>15</v>
      </c>
    </row>
    <row r="112" spans="1:71" x14ac:dyDescent="0.55000000000000004">
      <c r="A112" s="10">
        <v>432</v>
      </c>
      <c r="B112" s="10">
        <v>2022</v>
      </c>
      <c r="C112" s="10">
        <v>1326</v>
      </c>
      <c r="D112" s="10">
        <v>27711</v>
      </c>
      <c r="E112" s="10">
        <v>0</v>
      </c>
      <c r="F112" s="10">
        <v>7225</v>
      </c>
      <c r="G112" s="10">
        <v>4381</v>
      </c>
      <c r="H112" s="10">
        <v>0</v>
      </c>
      <c r="I112" s="10">
        <v>16516</v>
      </c>
      <c r="J112" s="10">
        <v>0</v>
      </c>
      <c r="K112" s="10">
        <v>0</v>
      </c>
      <c r="L112" s="10">
        <v>3690</v>
      </c>
      <c r="M112" s="10">
        <v>6676</v>
      </c>
      <c r="N112" s="10">
        <v>1969</v>
      </c>
      <c r="O112" s="10">
        <v>6181</v>
      </c>
      <c r="P112" s="10">
        <v>17204</v>
      </c>
      <c r="Q112" s="10">
        <v>6215</v>
      </c>
      <c r="R112" s="10">
        <v>3762</v>
      </c>
      <c r="S112" s="10">
        <v>85069</v>
      </c>
      <c r="T112" s="10">
        <v>17787</v>
      </c>
      <c r="U112" s="10">
        <v>19.069381598793363</v>
      </c>
      <c r="V112" s="10">
        <v>23.341164158637365</v>
      </c>
      <c r="W112" s="10">
        <v>34.418514196810584</v>
      </c>
      <c r="X112" s="10">
        <v>0</v>
      </c>
      <c r="Y112" s="10">
        <v>36.080968858131484</v>
      </c>
      <c r="Z112" s="10">
        <v>9.1666286236019161</v>
      </c>
      <c r="AA112" s="10">
        <v>0</v>
      </c>
      <c r="AB112" s="10">
        <v>33.493763623153306</v>
      </c>
      <c r="AC112" s="10">
        <v>50.533724340175944</v>
      </c>
      <c r="AD112" s="10">
        <v>0</v>
      </c>
      <c r="AE112" s="10">
        <v>23.069376693766941</v>
      </c>
      <c r="AF112" s="10">
        <v>46.574146195326541</v>
      </c>
      <c r="AG112" s="10">
        <v>7.1640426612493657</v>
      </c>
      <c r="AH112" s="10">
        <v>6.6371137356414822</v>
      </c>
      <c r="AI112" s="10">
        <v>40.920251104394325</v>
      </c>
      <c r="AJ112" s="10">
        <v>62.950373532550699</v>
      </c>
      <c r="AK112" s="10">
        <v>29.428801287208366</v>
      </c>
      <c r="AL112" s="10">
        <v>24.758639021796917</v>
      </c>
      <c r="AM112" s="10">
        <v>37.304132231404957</v>
      </c>
      <c r="AN112" s="10">
        <v>1</v>
      </c>
      <c r="AO112" s="10">
        <v>5</v>
      </c>
      <c r="AP112" s="10">
        <v>4</v>
      </c>
      <c r="AQ112" s="10">
        <v>0</v>
      </c>
      <c r="AR112" s="10">
        <v>5</v>
      </c>
      <c r="AS112" s="10">
        <v>0</v>
      </c>
      <c r="AT112" s="10">
        <v>0</v>
      </c>
      <c r="AU112" s="10">
        <v>1</v>
      </c>
      <c r="AV112" s="10">
        <v>0</v>
      </c>
      <c r="AW112" s="10">
        <v>2</v>
      </c>
      <c r="AX112" s="10">
        <v>3</v>
      </c>
      <c r="AY112" s="10">
        <v>1</v>
      </c>
      <c r="AZ112" s="10">
        <v>0</v>
      </c>
      <c r="BA112" s="10">
        <v>3</v>
      </c>
      <c r="BB112" s="10">
        <v>0</v>
      </c>
      <c r="BC112" s="10">
        <v>25</v>
      </c>
      <c r="BD112" s="10">
        <v>1</v>
      </c>
      <c r="BE112" s="10">
        <v>6</v>
      </c>
      <c r="BF112" s="10">
        <v>10</v>
      </c>
      <c r="BG112" s="10">
        <v>0</v>
      </c>
      <c r="BH112" s="10">
        <v>1</v>
      </c>
      <c r="BI112" s="10">
        <v>0</v>
      </c>
      <c r="BJ112" s="10">
        <v>10</v>
      </c>
      <c r="BK112" s="10">
        <v>0</v>
      </c>
      <c r="BL112" s="10">
        <v>0</v>
      </c>
      <c r="BM112" s="10">
        <v>0</v>
      </c>
      <c r="BN112" s="10">
        <v>1</v>
      </c>
      <c r="BO112" s="10">
        <v>0</v>
      </c>
      <c r="BP112" s="10">
        <v>6</v>
      </c>
      <c r="BQ112" s="10">
        <v>1</v>
      </c>
      <c r="BR112" s="10">
        <v>2</v>
      </c>
      <c r="BS112" s="10">
        <v>38</v>
      </c>
    </row>
    <row r="113" spans="1:71" x14ac:dyDescent="0.55000000000000004">
      <c r="A113" s="10">
        <v>429</v>
      </c>
      <c r="B113" s="10">
        <v>2022</v>
      </c>
      <c r="C113" s="10">
        <v>4734</v>
      </c>
      <c r="D113" s="10">
        <v>27728</v>
      </c>
      <c r="E113" s="10">
        <v>0</v>
      </c>
      <c r="F113" s="10">
        <v>11425</v>
      </c>
      <c r="G113" s="10">
        <v>0</v>
      </c>
      <c r="H113" s="10">
        <v>0</v>
      </c>
      <c r="I113" s="10">
        <v>50</v>
      </c>
      <c r="J113" s="10">
        <v>0</v>
      </c>
      <c r="K113" s="10">
        <v>0</v>
      </c>
      <c r="L113" s="10">
        <v>370</v>
      </c>
      <c r="M113" s="10">
        <v>6383</v>
      </c>
      <c r="N113" s="10">
        <v>0</v>
      </c>
      <c r="O113" s="10">
        <v>6574</v>
      </c>
      <c r="P113" s="10">
        <v>10924</v>
      </c>
      <c r="Q113" s="10">
        <v>1794</v>
      </c>
      <c r="R113" s="10">
        <v>5199</v>
      </c>
      <c r="S113" s="10">
        <v>57182</v>
      </c>
      <c r="T113" s="10">
        <v>17999</v>
      </c>
      <c r="U113" s="10">
        <v>21.397127165188003</v>
      </c>
      <c r="V113" s="10">
        <v>24.777697634160415</v>
      </c>
      <c r="W113" s="10">
        <v>35.003548616039744</v>
      </c>
      <c r="X113" s="10">
        <v>0</v>
      </c>
      <c r="Y113" s="10">
        <v>19.507221006564553</v>
      </c>
      <c r="Z113" s="10">
        <v>0</v>
      </c>
      <c r="AA113" s="10">
        <v>0</v>
      </c>
      <c r="AB113" s="10">
        <v>43.88</v>
      </c>
      <c r="AC113" s="10">
        <v>50.381750465549352</v>
      </c>
      <c r="AD113" s="10">
        <v>0</v>
      </c>
      <c r="AE113" s="10">
        <v>0</v>
      </c>
      <c r="AF113" s="10">
        <v>46.648597838007205</v>
      </c>
      <c r="AG113" s="10">
        <v>0</v>
      </c>
      <c r="AH113" s="10">
        <v>17.512625494371765</v>
      </c>
      <c r="AI113" s="10">
        <v>38.667154888319295</v>
      </c>
      <c r="AJ113" s="10">
        <v>62.813291139240512</v>
      </c>
      <c r="AK113" s="10">
        <v>24.746934225195094</v>
      </c>
      <c r="AL113" s="10">
        <v>29.043085208693981</v>
      </c>
      <c r="AM113" s="10">
        <v>0</v>
      </c>
      <c r="AN113" s="10">
        <v>1</v>
      </c>
      <c r="AO113" s="10">
        <v>3</v>
      </c>
      <c r="AP113" s="10">
        <v>10</v>
      </c>
      <c r="AQ113" s="10">
        <v>0</v>
      </c>
      <c r="AR113" s="10">
        <v>0</v>
      </c>
      <c r="AS113" s="10">
        <v>0</v>
      </c>
      <c r="AT113" s="10">
        <v>0</v>
      </c>
      <c r="AU113" s="10">
        <v>2</v>
      </c>
      <c r="AV113" s="10">
        <v>0</v>
      </c>
      <c r="AW113" s="10">
        <v>0</v>
      </c>
      <c r="AX113" s="10">
        <v>1</v>
      </c>
      <c r="AY113" s="10">
        <v>0</v>
      </c>
      <c r="AZ113" s="10">
        <v>4</v>
      </c>
      <c r="BA113" s="10">
        <v>1</v>
      </c>
      <c r="BB113" s="10">
        <v>1</v>
      </c>
      <c r="BC113" s="10">
        <v>23</v>
      </c>
      <c r="BD113" s="10">
        <v>4</v>
      </c>
      <c r="BE113" s="10">
        <v>0</v>
      </c>
      <c r="BF113" s="10">
        <v>10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2</v>
      </c>
      <c r="BQ113" s="10">
        <v>0</v>
      </c>
      <c r="BR113" s="10">
        <v>0</v>
      </c>
      <c r="BS113" s="10">
        <v>16</v>
      </c>
    </row>
    <row r="114" spans="1:71" x14ac:dyDescent="0.55000000000000004">
      <c r="A114" s="10">
        <v>288</v>
      </c>
      <c r="B114" s="10">
        <v>2022</v>
      </c>
      <c r="C114" s="10">
        <v>3908</v>
      </c>
      <c r="D114" s="10">
        <v>27786</v>
      </c>
      <c r="E114" s="10">
        <v>12619</v>
      </c>
      <c r="F114" s="10">
        <v>7526</v>
      </c>
      <c r="G114" s="10">
        <v>0</v>
      </c>
      <c r="H114" s="10">
        <v>0</v>
      </c>
      <c r="I114" s="10">
        <v>12846</v>
      </c>
      <c r="J114" s="10">
        <v>0</v>
      </c>
      <c r="K114" s="10">
        <v>0</v>
      </c>
      <c r="L114" s="10">
        <v>2218</v>
      </c>
      <c r="M114" s="10">
        <v>5031</v>
      </c>
      <c r="N114" s="10">
        <v>0</v>
      </c>
      <c r="O114" s="10">
        <v>1929</v>
      </c>
      <c r="P114" s="10">
        <v>12157</v>
      </c>
      <c r="Q114" s="10">
        <v>2404</v>
      </c>
      <c r="R114" s="10">
        <v>1389</v>
      </c>
      <c r="S114" s="10">
        <v>67739</v>
      </c>
      <c r="T114" s="10">
        <v>22074</v>
      </c>
      <c r="U114" s="10">
        <v>22.52456499488229</v>
      </c>
      <c r="V114" s="10">
        <v>24.592852515655366</v>
      </c>
      <c r="W114" s="10">
        <v>0</v>
      </c>
      <c r="X114" s="10">
        <v>19.371978762184007</v>
      </c>
      <c r="Y114" s="10">
        <v>29.599920276375233</v>
      </c>
      <c r="Z114" s="10">
        <v>0</v>
      </c>
      <c r="AA114" s="10">
        <v>0</v>
      </c>
      <c r="AB114" s="10">
        <v>33.647594581971042</v>
      </c>
      <c r="AC114" s="10">
        <v>0</v>
      </c>
      <c r="AD114" s="10">
        <v>0</v>
      </c>
      <c r="AE114" s="10">
        <v>24.125338142470696</v>
      </c>
      <c r="AF114" s="10">
        <v>43.155038759689923</v>
      </c>
      <c r="AG114" s="10">
        <v>0</v>
      </c>
      <c r="AH114" s="10">
        <v>26.650077760497666</v>
      </c>
      <c r="AI114" s="10">
        <v>45.953771489676733</v>
      </c>
      <c r="AJ114" s="10">
        <v>0</v>
      </c>
      <c r="AK114" s="10">
        <v>23.100249584026624</v>
      </c>
      <c r="AL114" s="10">
        <v>17.653707703383727</v>
      </c>
      <c r="AM114" s="10">
        <v>0</v>
      </c>
      <c r="AN114" s="10">
        <v>2</v>
      </c>
      <c r="AO114" s="10">
        <v>2</v>
      </c>
      <c r="AP114" s="10">
        <v>7</v>
      </c>
      <c r="AQ114" s="10">
        <v>0</v>
      </c>
      <c r="AR114" s="10">
        <v>0</v>
      </c>
      <c r="AS114" s="10">
        <v>0</v>
      </c>
      <c r="AT114" s="10">
        <v>3</v>
      </c>
      <c r="AU114" s="10">
        <v>3</v>
      </c>
      <c r="AV114" s="10">
        <v>0</v>
      </c>
      <c r="AW114" s="10">
        <v>0</v>
      </c>
      <c r="AX114" s="10">
        <v>2</v>
      </c>
      <c r="AY114" s="10">
        <v>6</v>
      </c>
      <c r="AZ114" s="10">
        <v>2</v>
      </c>
      <c r="BA114" s="10">
        <v>1</v>
      </c>
      <c r="BB114" s="10">
        <v>0</v>
      </c>
      <c r="BC114" s="10">
        <v>28</v>
      </c>
      <c r="BD114" s="10">
        <v>1</v>
      </c>
      <c r="BE114" s="10">
        <v>0</v>
      </c>
      <c r="BF114" s="10">
        <v>6</v>
      </c>
      <c r="BG114" s="10">
        <v>0</v>
      </c>
      <c r="BH114" s="10">
        <v>0</v>
      </c>
      <c r="BI114" s="10">
        <v>0</v>
      </c>
      <c r="BJ114" s="10">
        <v>1</v>
      </c>
      <c r="BK114" s="10">
        <v>0</v>
      </c>
      <c r="BL114" s="10">
        <v>0</v>
      </c>
      <c r="BM114" s="10">
        <v>0</v>
      </c>
      <c r="BN114" s="10">
        <v>0</v>
      </c>
      <c r="BO114" s="10">
        <v>0</v>
      </c>
      <c r="BP114" s="10">
        <v>2</v>
      </c>
      <c r="BQ114" s="10">
        <v>1</v>
      </c>
      <c r="BR114" s="10">
        <v>0</v>
      </c>
      <c r="BS114" s="10">
        <v>11</v>
      </c>
    </row>
    <row r="115" spans="1:71" x14ac:dyDescent="0.55000000000000004">
      <c r="A115" s="10">
        <v>797</v>
      </c>
      <c r="B115" s="10">
        <v>2022</v>
      </c>
      <c r="C115" s="10">
        <v>6416</v>
      </c>
      <c r="D115" s="10">
        <v>27842</v>
      </c>
      <c r="E115" s="10">
        <v>1309</v>
      </c>
      <c r="F115" s="10">
        <v>8573</v>
      </c>
      <c r="G115" s="10">
        <v>5809</v>
      </c>
      <c r="H115" s="10">
        <v>2099</v>
      </c>
      <c r="I115" s="10">
        <v>13510</v>
      </c>
      <c r="J115" s="10">
        <v>0</v>
      </c>
      <c r="K115" s="10">
        <v>0</v>
      </c>
      <c r="L115" s="10">
        <v>3978</v>
      </c>
      <c r="M115" s="10">
        <v>5957</v>
      </c>
      <c r="N115" s="10">
        <v>4277</v>
      </c>
      <c r="O115" s="10">
        <v>2565</v>
      </c>
      <c r="P115" s="10">
        <v>10489</v>
      </c>
      <c r="Q115" s="10">
        <v>3209</v>
      </c>
      <c r="R115" s="10">
        <v>4543</v>
      </c>
      <c r="S115" s="10">
        <v>80221</v>
      </c>
      <c r="T115" s="10">
        <v>20355</v>
      </c>
      <c r="U115" s="10">
        <v>17.483011221945137</v>
      </c>
      <c r="V115" s="10">
        <v>23.426801235543422</v>
      </c>
      <c r="W115" s="10">
        <v>0</v>
      </c>
      <c r="X115" s="10">
        <v>20.013750954927424</v>
      </c>
      <c r="Y115" s="10">
        <v>36.724367199346787</v>
      </c>
      <c r="Z115" s="10">
        <v>23.836288517817177</v>
      </c>
      <c r="AA115" s="10">
        <v>16.959980943306334</v>
      </c>
      <c r="AB115" s="10">
        <v>28.982235381199111</v>
      </c>
      <c r="AC115" s="10">
        <v>0</v>
      </c>
      <c r="AD115" s="10">
        <v>0</v>
      </c>
      <c r="AE115" s="10">
        <v>26.1236802413273</v>
      </c>
      <c r="AF115" s="10">
        <v>44.96457948631862</v>
      </c>
      <c r="AG115" s="10">
        <v>22.578676642506426</v>
      </c>
      <c r="AH115" s="10">
        <v>21.483820662768032</v>
      </c>
      <c r="AI115" s="10">
        <v>44.034226332348169</v>
      </c>
      <c r="AJ115" s="10">
        <v>0</v>
      </c>
      <c r="AK115" s="10">
        <v>19.541601745091928</v>
      </c>
      <c r="AL115" s="10">
        <v>24.98943429451904</v>
      </c>
      <c r="AM115" s="10">
        <v>0</v>
      </c>
      <c r="AN115" s="10">
        <v>1</v>
      </c>
      <c r="AO115" s="10">
        <v>4</v>
      </c>
      <c r="AP115" s="10">
        <v>7</v>
      </c>
      <c r="AQ115" s="10">
        <v>0</v>
      </c>
      <c r="AR115" s="10">
        <v>3</v>
      </c>
      <c r="AS115" s="10">
        <v>1</v>
      </c>
      <c r="AT115" s="10">
        <v>2</v>
      </c>
      <c r="AU115" s="10">
        <v>2</v>
      </c>
      <c r="AV115" s="10">
        <v>0</v>
      </c>
      <c r="AW115" s="10">
        <v>2</v>
      </c>
      <c r="AX115" s="10">
        <v>3</v>
      </c>
      <c r="AY115" s="10">
        <v>1</v>
      </c>
      <c r="AZ115" s="10">
        <v>2</v>
      </c>
      <c r="BA115" s="10">
        <v>1</v>
      </c>
      <c r="BB115" s="10">
        <v>1</v>
      </c>
      <c r="BC115" s="10">
        <v>30</v>
      </c>
      <c r="BD115" s="10">
        <v>3</v>
      </c>
      <c r="BE115" s="10">
        <v>0</v>
      </c>
      <c r="BF115" s="10">
        <v>9</v>
      </c>
      <c r="BG115" s="10">
        <v>0</v>
      </c>
      <c r="BH115" s="10">
        <v>0</v>
      </c>
      <c r="BI115" s="10">
        <v>0</v>
      </c>
      <c r="BJ115" s="10">
        <v>4</v>
      </c>
      <c r="BK115" s="10">
        <v>0</v>
      </c>
      <c r="BL115" s="10">
        <v>0</v>
      </c>
      <c r="BM115" s="10">
        <v>0</v>
      </c>
      <c r="BN115" s="10">
        <v>1</v>
      </c>
      <c r="BO115" s="10">
        <v>2</v>
      </c>
      <c r="BP115" s="10">
        <v>4</v>
      </c>
      <c r="BQ115" s="10">
        <v>0</v>
      </c>
      <c r="BR115" s="10">
        <v>1</v>
      </c>
      <c r="BS115" s="10">
        <v>24</v>
      </c>
    </row>
    <row r="116" spans="1:71" x14ac:dyDescent="0.55000000000000004">
      <c r="A116" s="10">
        <v>771</v>
      </c>
      <c r="B116" s="10">
        <v>2022</v>
      </c>
      <c r="C116" s="10">
        <v>4048</v>
      </c>
      <c r="D116" s="10">
        <v>28029</v>
      </c>
      <c r="E116" s="10">
        <v>13550</v>
      </c>
      <c r="F116" s="10">
        <v>6281</v>
      </c>
      <c r="G116" s="10">
        <v>4867</v>
      </c>
      <c r="H116" s="10">
        <v>2150</v>
      </c>
      <c r="I116" s="10">
        <v>5733</v>
      </c>
      <c r="J116" s="10">
        <v>960</v>
      </c>
      <c r="K116" s="10">
        <v>0</v>
      </c>
      <c r="L116" s="10">
        <v>2698</v>
      </c>
      <c r="M116" s="10">
        <v>5422</v>
      </c>
      <c r="N116" s="10">
        <v>0</v>
      </c>
      <c r="O116" s="10">
        <v>3126</v>
      </c>
      <c r="P116" s="10">
        <v>9642</v>
      </c>
      <c r="Q116" s="10">
        <v>1728</v>
      </c>
      <c r="R116" s="10">
        <v>2125</v>
      </c>
      <c r="S116" s="10">
        <v>60385</v>
      </c>
      <c r="T116" s="10">
        <v>29974</v>
      </c>
      <c r="U116" s="10">
        <v>19.771245059288539</v>
      </c>
      <c r="V116" s="10">
        <v>22.633736487209674</v>
      </c>
      <c r="W116" s="10">
        <v>0</v>
      </c>
      <c r="X116" s="10">
        <v>13.389594095940959</v>
      </c>
      <c r="Y116" s="10">
        <v>31.763254258875971</v>
      </c>
      <c r="Z116" s="10">
        <v>17.35874255188001</v>
      </c>
      <c r="AA116" s="10">
        <v>16.824186046511628</v>
      </c>
      <c r="AB116" s="10">
        <v>30.007326007326007</v>
      </c>
      <c r="AC116" s="10">
        <v>0</v>
      </c>
      <c r="AD116" s="10">
        <v>0</v>
      </c>
      <c r="AE116" s="10">
        <v>25.365826538176428</v>
      </c>
      <c r="AF116" s="10">
        <v>39.167281445960903</v>
      </c>
      <c r="AG116" s="10">
        <v>0</v>
      </c>
      <c r="AH116" s="10">
        <v>21.43410108765195</v>
      </c>
      <c r="AI116" s="10">
        <v>35.185438705662726</v>
      </c>
      <c r="AJ116" s="10">
        <v>0</v>
      </c>
      <c r="AK116" s="10">
        <v>28.464699074074076</v>
      </c>
      <c r="AL116" s="10">
        <v>22.431058823529412</v>
      </c>
      <c r="AM116" s="10">
        <v>0</v>
      </c>
      <c r="AN116" s="10">
        <v>1</v>
      </c>
      <c r="AO116" s="10">
        <v>5</v>
      </c>
      <c r="AP116" s="10">
        <v>9</v>
      </c>
      <c r="AQ116" s="10">
        <v>5</v>
      </c>
      <c r="AR116" s="10">
        <v>2</v>
      </c>
      <c r="AS116" s="10">
        <v>1</v>
      </c>
      <c r="AT116" s="10">
        <v>3</v>
      </c>
      <c r="AU116" s="10">
        <v>1</v>
      </c>
      <c r="AV116" s="10">
        <v>0</v>
      </c>
      <c r="AW116" s="10">
        <v>1</v>
      </c>
      <c r="AX116" s="10">
        <v>1</v>
      </c>
      <c r="AY116" s="10">
        <v>0</v>
      </c>
      <c r="AZ116" s="10">
        <v>5</v>
      </c>
      <c r="BA116" s="10">
        <v>1</v>
      </c>
      <c r="BB116" s="10">
        <v>0</v>
      </c>
      <c r="BC116" s="10">
        <v>35</v>
      </c>
      <c r="BD116" s="10">
        <v>2</v>
      </c>
      <c r="BE116" s="10">
        <v>0</v>
      </c>
      <c r="BF116" s="10">
        <v>5</v>
      </c>
      <c r="BG116" s="10">
        <v>4</v>
      </c>
      <c r="BH116" s="10">
        <v>0</v>
      </c>
      <c r="BI116" s="10">
        <v>0</v>
      </c>
      <c r="BJ116" s="10">
        <v>2</v>
      </c>
      <c r="BK116" s="10">
        <v>1</v>
      </c>
      <c r="BL116" s="10">
        <v>0</v>
      </c>
      <c r="BM116" s="10">
        <v>0</v>
      </c>
      <c r="BN116" s="10">
        <v>0</v>
      </c>
      <c r="BO116" s="10">
        <v>0</v>
      </c>
      <c r="BP116" s="10">
        <v>4</v>
      </c>
      <c r="BQ116" s="10">
        <v>0</v>
      </c>
      <c r="BR116" s="10">
        <v>0</v>
      </c>
      <c r="BS116" s="10">
        <v>18</v>
      </c>
    </row>
    <row r="117" spans="1:71" x14ac:dyDescent="0.55000000000000004">
      <c r="A117" s="10">
        <v>532</v>
      </c>
      <c r="B117" s="10">
        <v>2022</v>
      </c>
      <c r="C117" s="10">
        <v>3844</v>
      </c>
      <c r="D117" s="10">
        <v>28154</v>
      </c>
      <c r="E117" s="10">
        <v>11547</v>
      </c>
      <c r="F117" s="10">
        <v>6615</v>
      </c>
      <c r="G117" s="10">
        <v>0</v>
      </c>
      <c r="H117" s="10">
        <v>0</v>
      </c>
      <c r="I117" s="10">
        <v>5602</v>
      </c>
      <c r="J117" s="10">
        <v>0</v>
      </c>
      <c r="K117" s="10">
        <v>0</v>
      </c>
      <c r="L117" s="10">
        <v>2070</v>
      </c>
      <c r="M117" s="10">
        <v>2435</v>
      </c>
      <c r="N117" s="10">
        <v>0</v>
      </c>
      <c r="O117" s="10">
        <v>1506</v>
      </c>
      <c r="P117" s="10">
        <v>13306</v>
      </c>
      <c r="Q117" s="10">
        <v>340</v>
      </c>
      <c r="R117" s="10">
        <v>0</v>
      </c>
      <c r="S117" s="10">
        <v>55751</v>
      </c>
      <c r="T117" s="10">
        <v>19668</v>
      </c>
      <c r="U117" s="10">
        <v>18.621748178980226</v>
      </c>
      <c r="V117" s="10">
        <v>19.822867088157988</v>
      </c>
      <c r="W117" s="10">
        <v>31.25</v>
      </c>
      <c r="X117" s="10">
        <v>9.326145319130509</v>
      </c>
      <c r="Y117" s="10">
        <v>27.416780045351473</v>
      </c>
      <c r="Z117" s="10">
        <v>0</v>
      </c>
      <c r="AA117" s="10">
        <v>0</v>
      </c>
      <c r="AB117" s="10">
        <v>32.368261335237413</v>
      </c>
      <c r="AC117" s="10">
        <v>57.962305986696229</v>
      </c>
      <c r="AD117" s="10">
        <v>0</v>
      </c>
      <c r="AE117" s="10">
        <v>23.132367149758455</v>
      </c>
      <c r="AF117" s="10">
        <v>39.943326488706369</v>
      </c>
      <c r="AG117" s="10">
        <v>0</v>
      </c>
      <c r="AH117" s="10">
        <v>20.64209827357238</v>
      </c>
      <c r="AI117" s="10">
        <v>40.87870133774237</v>
      </c>
      <c r="AJ117" s="10">
        <v>0</v>
      </c>
      <c r="AK117" s="10">
        <v>31.794117647058822</v>
      </c>
      <c r="AL117" s="10">
        <v>0</v>
      </c>
      <c r="AM117" s="10">
        <v>0</v>
      </c>
      <c r="AN117" s="10">
        <v>1</v>
      </c>
      <c r="AO117" s="10">
        <v>3</v>
      </c>
      <c r="AP117" s="10">
        <v>14</v>
      </c>
      <c r="AQ117" s="10">
        <v>6</v>
      </c>
      <c r="AR117" s="10">
        <v>0</v>
      </c>
      <c r="AS117" s="10">
        <v>0</v>
      </c>
      <c r="AT117" s="10">
        <v>1</v>
      </c>
      <c r="AU117" s="10">
        <v>1</v>
      </c>
      <c r="AV117" s="10">
        <v>0</v>
      </c>
      <c r="AW117" s="10">
        <v>1</v>
      </c>
      <c r="AX117" s="10">
        <v>2</v>
      </c>
      <c r="AY117" s="10">
        <v>0</v>
      </c>
      <c r="AZ117" s="10">
        <v>6</v>
      </c>
      <c r="BA117" s="10">
        <v>0</v>
      </c>
      <c r="BB117" s="10">
        <v>1</v>
      </c>
      <c r="BC117" s="10">
        <v>36</v>
      </c>
      <c r="BD117" s="10">
        <v>1</v>
      </c>
      <c r="BE117" s="10">
        <v>0</v>
      </c>
      <c r="BF117" s="10">
        <v>3</v>
      </c>
      <c r="BG117" s="10">
        <v>5</v>
      </c>
      <c r="BH117" s="10">
        <v>0</v>
      </c>
      <c r="BI117" s="10">
        <v>0</v>
      </c>
      <c r="BJ117" s="10">
        <v>0</v>
      </c>
      <c r="BK117" s="10">
        <v>0</v>
      </c>
      <c r="BL117" s="10">
        <v>0</v>
      </c>
      <c r="BM117" s="10">
        <v>0</v>
      </c>
      <c r="BN117" s="10">
        <v>0</v>
      </c>
      <c r="BO117" s="10">
        <v>0</v>
      </c>
      <c r="BP117" s="10">
        <v>1</v>
      </c>
      <c r="BQ117" s="10">
        <v>0</v>
      </c>
      <c r="BR117" s="10">
        <v>0</v>
      </c>
      <c r="BS117" s="10">
        <v>10</v>
      </c>
    </row>
    <row r="118" spans="1:71" x14ac:dyDescent="0.55000000000000004">
      <c r="A118" s="10">
        <v>231</v>
      </c>
      <c r="B118" s="10">
        <v>2022</v>
      </c>
      <c r="C118" s="10">
        <v>1207</v>
      </c>
      <c r="D118" s="10">
        <v>28521</v>
      </c>
      <c r="E118" s="10">
        <v>14266</v>
      </c>
      <c r="F118" s="10">
        <v>3013</v>
      </c>
      <c r="G118" s="10">
        <v>0</v>
      </c>
      <c r="H118" s="10">
        <v>0</v>
      </c>
      <c r="I118" s="10">
        <v>5804</v>
      </c>
      <c r="J118" s="10">
        <v>392</v>
      </c>
      <c r="K118" s="10">
        <v>0</v>
      </c>
      <c r="L118" s="10">
        <v>1477</v>
      </c>
      <c r="M118" s="10">
        <v>2837</v>
      </c>
      <c r="N118" s="10">
        <v>0</v>
      </c>
      <c r="O118" s="10">
        <v>1899</v>
      </c>
      <c r="P118" s="10">
        <v>6742</v>
      </c>
      <c r="Q118" s="10">
        <v>1316</v>
      </c>
      <c r="R118" s="10">
        <v>3585</v>
      </c>
      <c r="S118" s="10">
        <v>51881</v>
      </c>
      <c r="T118" s="10">
        <v>19178</v>
      </c>
      <c r="U118" s="10">
        <v>23.748135874067934</v>
      </c>
      <c r="V118" s="10">
        <v>22.51828477262368</v>
      </c>
      <c r="W118" s="10">
        <v>39.95896520963425</v>
      </c>
      <c r="X118" s="10">
        <v>12.694448338707415</v>
      </c>
      <c r="Y118" s="10">
        <v>36.102887487553936</v>
      </c>
      <c r="Z118" s="10">
        <v>0</v>
      </c>
      <c r="AA118" s="10">
        <v>0</v>
      </c>
      <c r="AB118" s="10">
        <v>30.66040661612681</v>
      </c>
      <c r="AC118" s="10">
        <v>48.254143646408842</v>
      </c>
      <c r="AD118" s="10">
        <v>0</v>
      </c>
      <c r="AE118" s="10">
        <v>21.813134732566013</v>
      </c>
      <c r="AF118" s="10">
        <v>55.649982375749026</v>
      </c>
      <c r="AG118" s="10">
        <v>0</v>
      </c>
      <c r="AH118" s="10">
        <v>41.659820958399152</v>
      </c>
      <c r="AI118" s="10">
        <v>50.05146840700089</v>
      </c>
      <c r="AJ118" s="10">
        <v>79.643790849673195</v>
      </c>
      <c r="AK118" s="10">
        <v>29.127659574468083</v>
      </c>
      <c r="AL118" s="10">
        <v>23.139748953974895</v>
      </c>
      <c r="AM118" s="10">
        <v>36.902077151335313</v>
      </c>
      <c r="AN118" s="10">
        <v>1</v>
      </c>
      <c r="AO118" s="10">
        <v>2</v>
      </c>
      <c r="AP118" s="10">
        <v>7</v>
      </c>
      <c r="AQ118" s="10">
        <v>2</v>
      </c>
      <c r="AR118" s="10">
        <v>0</v>
      </c>
      <c r="AS118" s="10">
        <v>0</v>
      </c>
      <c r="AT118" s="10">
        <v>3</v>
      </c>
      <c r="AU118" s="10">
        <v>1</v>
      </c>
      <c r="AV118" s="10">
        <v>0</v>
      </c>
      <c r="AW118" s="10">
        <v>1</v>
      </c>
      <c r="AX118" s="10">
        <v>2</v>
      </c>
      <c r="AY118" s="10">
        <v>0</v>
      </c>
      <c r="AZ118" s="10">
        <v>1</v>
      </c>
      <c r="BA118" s="10">
        <v>1</v>
      </c>
      <c r="BB118" s="10">
        <v>1</v>
      </c>
      <c r="BC118" s="10">
        <v>22</v>
      </c>
      <c r="BD118" s="10">
        <v>0</v>
      </c>
      <c r="BE118" s="10">
        <v>0</v>
      </c>
      <c r="BF118" s="10">
        <v>2</v>
      </c>
      <c r="BG118" s="10">
        <v>4</v>
      </c>
      <c r="BH118" s="10">
        <v>0</v>
      </c>
      <c r="BI118" s="10">
        <v>0</v>
      </c>
      <c r="BJ118" s="10">
        <v>1</v>
      </c>
      <c r="BK118" s="10">
        <v>0</v>
      </c>
      <c r="BL118" s="10">
        <v>0</v>
      </c>
      <c r="BM118" s="10">
        <v>0</v>
      </c>
      <c r="BN118" s="10">
        <v>0</v>
      </c>
      <c r="BO118" s="10">
        <v>0</v>
      </c>
      <c r="BP118" s="10">
        <v>3</v>
      </c>
      <c r="BQ118" s="10">
        <v>0</v>
      </c>
      <c r="BR118" s="10">
        <v>0</v>
      </c>
      <c r="BS118" s="10">
        <v>10</v>
      </c>
    </row>
    <row r="119" spans="1:71" x14ac:dyDescent="0.55000000000000004">
      <c r="A119" s="10">
        <v>715</v>
      </c>
      <c r="B119" s="10">
        <v>2022</v>
      </c>
      <c r="C119" s="10">
        <v>5579</v>
      </c>
      <c r="D119" s="10">
        <v>28538</v>
      </c>
      <c r="E119" s="10">
        <v>10811</v>
      </c>
      <c r="F119" s="10">
        <v>3563</v>
      </c>
      <c r="G119" s="10">
        <v>4500</v>
      </c>
      <c r="H119" s="10">
        <v>1799</v>
      </c>
      <c r="I119" s="10">
        <v>7496</v>
      </c>
      <c r="J119" s="10">
        <v>492</v>
      </c>
      <c r="K119" s="10">
        <v>0</v>
      </c>
      <c r="L119" s="10">
        <v>1861</v>
      </c>
      <c r="M119" s="10">
        <v>4518</v>
      </c>
      <c r="N119" s="10">
        <v>0</v>
      </c>
      <c r="O119" s="10">
        <v>2161</v>
      </c>
      <c r="P119" s="10">
        <v>5964</v>
      </c>
      <c r="Q119" s="10">
        <v>1802</v>
      </c>
      <c r="R119" s="10">
        <v>8631</v>
      </c>
      <c r="S119" s="10">
        <v>64881</v>
      </c>
      <c r="T119" s="10">
        <v>22834</v>
      </c>
      <c r="U119" s="10">
        <v>20.492561390930273</v>
      </c>
      <c r="V119" s="10">
        <v>20.961104492255942</v>
      </c>
      <c r="W119" s="10">
        <v>32.293682018051378</v>
      </c>
      <c r="X119" s="10">
        <v>19.070853760059197</v>
      </c>
      <c r="Y119" s="10">
        <v>38.443165871456635</v>
      </c>
      <c r="Z119" s="10">
        <v>15.735333333333331</v>
      </c>
      <c r="AA119" s="10">
        <v>15.262367982212339</v>
      </c>
      <c r="AB119" s="10">
        <v>30.911419423692635</v>
      </c>
      <c r="AC119" s="10">
        <v>49.905251141552505</v>
      </c>
      <c r="AD119" s="10">
        <v>0</v>
      </c>
      <c r="AE119" s="10">
        <v>0</v>
      </c>
      <c r="AF119" s="10">
        <v>37.743249225320938</v>
      </c>
      <c r="AG119" s="10">
        <v>0</v>
      </c>
      <c r="AH119" s="10">
        <v>20.747801943544655</v>
      </c>
      <c r="AI119" s="10">
        <v>33.770456069751845</v>
      </c>
      <c r="AJ119" s="10">
        <v>62.234899328859058</v>
      </c>
      <c r="AK119" s="10">
        <v>25.221420643729189</v>
      </c>
      <c r="AL119" s="10">
        <v>21.13532614992469</v>
      </c>
      <c r="AM119" s="10">
        <v>0</v>
      </c>
      <c r="AN119" s="10">
        <v>3</v>
      </c>
      <c r="AO119" s="10">
        <v>2</v>
      </c>
      <c r="AP119" s="10">
        <v>7</v>
      </c>
      <c r="AQ119" s="10">
        <v>2</v>
      </c>
      <c r="AR119" s="10">
        <v>0</v>
      </c>
      <c r="AS119" s="10">
        <v>1</v>
      </c>
      <c r="AT119" s="10">
        <v>3</v>
      </c>
      <c r="AU119" s="10">
        <v>1</v>
      </c>
      <c r="AV119" s="10">
        <v>0</v>
      </c>
      <c r="AW119" s="10">
        <v>2</v>
      </c>
      <c r="AX119" s="10">
        <v>2</v>
      </c>
      <c r="AY119" s="10">
        <v>0</v>
      </c>
      <c r="AZ119" s="10">
        <v>2</v>
      </c>
      <c r="BA119" s="10">
        <v>1</v>
      </c>
      <c r="BB119" s="10">
        <v>2</v>
      </c>
      <c r="BC119" s="10">
        <v>28</v>
      </c>
      <c r="BD119" s="10">
        <v>3</v>
      </c>
      <c r="BE119" s="10">
        <v>0</v>
      </c>
      <c r="BF119" s="10">
        <v>26</v>
      </c>
      <c r="BG119" s="10">
        <v>9</v>
      </c>
      <c r="BH119" s="10">
        <v>3</v>
      </c>
      <c r="BI119" s="10">
        <v>0</v>
      </c>
      <c r="BJ119" s="10">
        <v>3</v>
      </c>
      <c r="BK119" s="10">
        <v>0</v>
      </c>
      <c r="BL119" s="10">
        <v>0</v>
      </c>
      <c r="BM119" s="10">
        <v>0</v>
      </c>
      <c r="BN119" s="10">
        <v>1</v>
      </c>
      <c r="BO119" s="10">
        <v>0</v>
      </c>
      <c r="BP119" s="10">
        <v>1</v>
      </c>
      <c r="BQ119" s="10">
        <v>0</v>
      </c>
      <c r="BR119" s="10">
        <v>3</v>
      </c>
      <c r="BS119" s="10">
        <v>49</v>
      </c>
    </row>
    <row r="120" spans="1:71" x14ac:dyDescent="0.55000000000000004">
      <c r="A120" s="10">
        <v>606</v>
      </c>
      <c r="B120" s="10">
        <v>2022</v>
      </c>
      <c r="C120" s="10">
        <v>5788</v>
      </c>
      <c r="D120" s="10">
        <v>28596</v>
      </c>
      <c r="E120" s="10">
        <v>19472</v>
      </c>
      <c r="F120" s="10">
        <v>6438</v>
      </c>
      <c r="G120" s="10">
        <v>5571</v>
      </c>
      <c r="H120" s="10">
        <v>4071</v>
      </c>
      <c r="I120" s="10">
        <v>14646</v>
      </c>
      <c r="J120" s="10">
        <v>0</v>
      </c>
      <c r="K120" s="10">
        <v>0</v>
      </c>
      <c r="L120" s="10">
        <v>2182</v>
      </c>
      <c r="M120" s="10">
        <v>2232</v>
      </c>
      <c r="N120" s="10">
        <v>0</v>
      </c>
      <c r="O120" s="10">
        <v>4153</v>
      </c>
      <c r="P120" s="10">
        <v>9407</v>
      </c>
      <c r="Q120" s="10">
        <v>2175</v>
      </c>
      <c r="R120" s="10">
        <v>18324</v>
      </c>
      <c r="S120" s="10">
        <v>83350</v>
      </c>
      <c r="T120" s="10">
        <v>39705</v>
      </c>
      <c r="U120" s="10">
        <v>20.769004837595023</v>
      </c>
      <c r="V120" s="10">
        <v>21.435725276262414</v>
      </c>
      <c r="W120" s="10">
        <v>32.310975609756099</v>
      </c>
      <c r="X120" s="10">
        <v>13.640355382087101</v>
      </c>
      <c r="Y120" s="10">
        <v>42.9246660453557</v>
      </c>
      <c r="Z120" s="10">
        <v>17.637587506731286</v>
      </c>
      <c r="AA120" s="10">
        <v>19.047408499140261</v>
      </c>
      <c r="AB120" s="10">
        <v>29.648641267240201</v>
      </c>
      <c r="AC120" s="10">
        <v>49.399653979238757</v>
      </c>
      <c r="AD120" s="10">
        <v>0</v>
      </c>
      <c r="AE120" s="10">
        <v>9.1223648029330899</v>
      </c>
      <c r="AF120" s="10">
        <v>46.769713261648747</v>
      </c>
      <c r="AG120" s="10">
        <v>0</v>
      </c>
      <c r="AH120" s="10">
        <v>24.266072718516735</v>
      </c>
      <c r="AI120" s="10">
        <v>36.658126926756673</v>
      </c>
      <c r="AJ120" s="10">
        <v>62.744580584354388</v>
      </c>
      <c r="AK120" s="10">
        <v>29.68919540229885</v>
      </c>
      <c r="AL120" s="10">
        <v>21.479644182492908</v>
      </c>
      <c r="AM120" s="10">
        <v>35.195652173913039</v>
      </c>
      <c r="AN120" s="10">
        <v>3</v>
      </c>
      <c r="AO120" s="10">
        <v>5</v>
      </c>
      <c r="AP120" s="10">
        <v>10</v>
      </c>
      <c r="AQ120" s="10">
        <v>5</v>
      </c>
      <c r="AR120" s="10">
        <v>2</v>
      </c>
      <c r="AS120" s="10">
        <v>0</v>
      </c>
      <c r="AT120" s="10">
        <v>7</v>
      </c>
      <c r="AU120" s="10">
        <v>2</v>
      </c>
      <c r="AV120" s="10">
        <v>0</v>
      </c>
      <c r="AW120" s="10">
        <v>2</v>
      </c>
      <c r="AX120" s="10">
        <v>1</v>
      </c>
      <c r="AY120" s="10">
        <v>0</v>
      </c>
      <c r="AZ120" s="10">
        <v>4</v>
      </c>
      <c r="BA120" s="10">
        <v>1</v>
      </c>
      <c r="BB120" s="10">
        <v>9</v>
      </c>
      <c r="BC120" s="10">
        <v>51</v>
      </c>
      <c r="BD120" s="10">
        <v>2</v>
      </c>
      <c r="BE120" s="10">
        <v>0</v>
      </c>
      <c r="BF120" s="10">
        <v>13</v>
      </c>
      <c r="BG120" s="10">
        <v>12</v>
      </c>
      <c r="BH120" s="10">
        <v>1</v>
      </c>
      <c r="BI120" s="10">
        <v>3</v>
      </c>
      <c r="BJ120" s="10">
        <v>4</v>
      </c>
      <c r="BK120" s="10">
        <v>0</v>
      </c>
      <c r="BL120" s="10">
        <v>0</v>
      </c>
      <c r="BM120" s="10">
        <v>0</v>
      </c>
      <c r="BN120" s="10">
        <v>0</v>
      </c>
      <c r="BO120" s="10">
        <v>0</v>
      </c>
      <c r="BP120" s="10">
        <v>3</v>
      </c>
      <c r="BQ120" s="10">
        <v>0</v>
      </c>
      <c r="BR120" s="10">
        <v>0</v>
      </c>
      <c r="BS120" s="10">
        <v>38</v>
      </c>
    </row>
    <row r="121" spans="1:71" x14ac:dyDescent="0.55000000000000004">
      <c r="A121" s="10">
        <v>816</v>
      </c>
      <c r="B121" s="10">
        <v>2022</v>
      </c>
      <c r="C121" s="10">
        <v>8687</v>
      </c>
      <c r="D121" s="10">
        <v>28921</v>
      </c>
      <c r="E121" s="10">
        <v>21074</v>
      </c>
      <c r="F121" s="10">
        <v>10816</v>
      </c>
      <c r="G121" s="10">
        <v>3398</v>
      </c>
      <c r="H121" s="10">
        <v>3634</v>
      </c>
      <c r="I121" s="10">
        <v>16737</v>
      </c>
      <c r="J121" s="10">
        <v>0</v>
      </c>
      <c r="K121" s="10">
        <v>0</v>
      </c>
      <c r="L121" s="10">
        <v>2106</v>
      </c>
      <c r="M121" s="10">
        <v>4258</v>
      </c>
      <c r="N121" s="10">
        <v>0</v>
      </c>
      <c r="O121" s="10">
        <v>6440</v>
      </c>
      <c r="P121" s="10">
        <v>10730</v>
      </c>
      <c r="Q121" s="10">
        <v>1324</v>
      </c>
      <c r="R121" s="10">
        <v>15887</v>
      </c>
      <c r="S121" s="10">
        <v>88650</v>
      </c>
      <c r="T121" s="10">
        <v>45362</v>
      </c>
      <c r="U121" s="10">
        <v>15.822378266375043</v>
      </c>
      <c r="V121" s="10">
        <v>23.774938625911965</v>
      </c>
      <c r="W121" s="10">
        <v>34.197536394176929</v>
      </c>
      <c r="X121" s="10">
        <v>10.313182120148049</v>
      </c>
      <c r="Y121" s="10">
        <v>29.240384615384613</v>
      </c>
      <c r="Z121" s="10">
        <v>21.223072395526781</v>
      </c>
      <c r="AA121" s="10">
        <v>19.67116125481563</v>
      </c>
      <c r="AB121" s="10">
        <v>24.287148234450616</v>
      </c>
      <c r="AC121" s="10">
        <v>51.078626799557036</v>
      </c>
      <c r="AD121" s="10">
        <v>0</v>
      </c>
      <c r="AE121" s="10">
        <v>43.334757834757838</v>
      </c>
      <c r="AF121" s="10">
        <v>31.960544856740253</v>
      </c>
      <c r="AG121" s="10">
        <v>0</v>
      </c>
      <c r="AH121" s="10">
        <v>18.32468944099379</v>
      </c>
      <c r="AI121" s="10">
        <v>34.254333643988815</v>
      </c>
      <c r="AJ121" s="10">
        <v>62.681293952180027</v>
      </c>
      <c r="AK121" s="10">
        <v>39.179758308157098</v>
      </c>
      <c r="AL121" s="10">
        <v>20.998048719078493</v>
      </c>
      <c r="AM121" s="10">
        <v>0</v>
      </c>
      <c r="AN121" s="10">
        <v>3</v>
      </c>
      <c r="AO121" s="10">
        <v>5</v>
      </c>
      <c r="AP121" s="10">
        <v>10</v>
      </c>
      <c r="AQ121" s="10">
        <v>3</v>
      </c>
      <c r="AR121" s="10">
        <v>2</v>
      </c>
      <c r="AS121" s="10">
        <v>2</v>
      </c>
      <c r="AT121" s="10">
        <v>2</v>
      </c>
      <c r="AU121" s="10">
        <v>3</v>
      </c>
      <c r="AV121" s="10">
        <v>0</v>
      </c>
      <c r="AW121" s="10">
        <v>1</v>
      </c>
      <c r="AX121" s="10">
        <v>2</v>
      </c>
      <c r="AY121" s="10">
        <v>1</v>
      </c>
      <c r="AZ121" s="10">
        <v>5</v>
      </c>
      <c r="BA121" s="10">
        <v>1</v>
      </c>
      <c r="BB121" s="10">
        <v>5</v>
      </c>
      <c r="BC121" s="10">
        <v>45</v>
      </c>
      <c r="BD121" s="10">
        <v>2</v>
      </c>
      <c r="BE121" s="10">
        <v>0</v>
      </c>
      <c r="BF121" s="10">
        <v>11</v>
      </c>
      <c r="BG121" s="10">
        <v>14</v>
      </c>
      <c r="BH121" s="10">
        <v>2</v>
      </c>
      <c r="BI121" s="10">
        <v>0</v>
      </c>
      <c r="BJ121" s="10">
        <v>4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3</v>
      </c>
      <c r="BS121" s="10">
        <v>36</v>
      </c>
    </row>
    <row r="122" spans="1:71" x14ac:dyDescent="0.55000000000000004">
      <c r="A122" s="10">
        <v>233</v>
      </c>
      <c r="B122" s="10">
        <v>2022</v>
      </c>
      <c r="C122" s="10">
        <v>3151</v>
      </c>
      <c r="D122" s="10">
        <v>29010</v>
      </c>
      <c r="E122" s="10">
        <v>7483</v>
      </c>
      <c r="F122" s="10">
        <v>4158</v>
      </c>
      <c r="G122" s="10">
        <v>4088</v>
      </c>
      <c r="H122" s="10">
        <v>922</v>
      </c>
      <c r="I122" s="10">
        <v>8160</v>
      </c>
      <c r="J122" s="10">
        <v>0</v>
      </c>
      <c r="K122" s="10">
        <v>0</v>
      </c>
      <c r="L122" s="10">
        <v>1579</v>
      </c>
      <c r="M122" s="10">
        <v>3313</v>
      </c>
      <c r="N122" s="10">
        <v>0</v>
      </c>
      <c r="O122" s="10">
        <v>1809</v>
      </c>
      <c r="P122" s="10">
        <v>4204</v>
      </c>
      <c r="Q122" s="10">
        <v>1874</v>
      </c>
      <c r="R122" s="10">
        <v>2898</v>
      </c>
      <c r="S122" s="10">
        <v>54189</v>
      </c>
      <c r="T122" s="10">
        <v>18460</v>
      </c>
      <c r="U122" s="10">
        <v>19.270390352269121</v>
      </c>
      <c r="V122" s="10">
        <v>19.172595656670111</v>
      </c>
      <c r="W122" s="10">
        <v>0</v>
      </c>
      <c r="X122" s="10">
        <v>21.054657223038888</v>
      </c>
      <c r="Y122" s="10">
        <v>38.513227513227513</v>
      </c>
      <c r="Z122" s="10">
        <v>19.598825831702545</v>
      </c>
      <c r="AA122" s="10">
        <v>11.904555314533621</v>
      </c>
      <c r="AB122" s="10">
        <v>28.483455882352942</v>
      </c>
      <c r="AC122" s="10">
        <v>0</v>
      </c>
      <c r="AD122" s="10">
        <v>0</v>
      </c>
      <c r="AE122" s="10">
        <v>22.530715642811906</v>
      </c>
      <c r="AF122" s="10">
        <v>41.92453969212194</v>
      </c>
      <c r="AG122" s="10">
        <v>0</v>
      </c>
      <c r="AH122" s="10">
        <v>22.655058043117744</v>
      </c>
      <c r="AI122" s="10">
        <v>40.011179828734534</v>
      </c>
      <c r="AJ122" s="10">
        <v>62.352941176470587</v>
      </c>
      <c r="AK122" s="10">
        <v>20.852187833511206</v>
      </c>
      <c r="AL122" s="10">
        <v>21.68046928916494</v>
      </c>
      <c r="AM122" s="10">
        <v>0</v>
      </c>
      <c r="AN122" s="10">
        <v>1</v>
      </c>
      <c r="AO122" s="10">
        <v>2</v>
      </c>
      <c r="AP122" s="10">
        <v>13</v>
      </c>
      <c r="AQ122" s="10">
        <v>5</v>
      </c>
      <c r="AR122" s="10">
        <v>1</v>
      </c>
      <c r="AS122" s="10">
        <v>1</v>
      </c>
      <c r="AT122" s="10">
        <v>3</v>
      </c>
      <c r="AU122" s="10">
        <v>1</v>
      </c>
      <c r="AV122" s="10">
        <v>0</v>
      </c>
      <c r="AW122" s="10">
        <v>1</v>
      </c>
      <c r="AX122" s="10">
        <v>1</v>
      </c>
      <c r="AY122" s="10">
        <v>0</v>
      </c>
      <c r="AZ122" s="10">
        <v>2</v>
      </c>
      <c r="BA122" s="10">
        <v>1</v>
      </c>
      <c r="BB122" s="10">
        <v>0</v>
      </c>
      <c r="BC122" s="10">
        <v>32</v>
      </c>
      <c r="BD122" s="10">
        <v>3</v>
      </c>
      <c r="BE122" s="10">
        <v>0</v>
      </c>
      <c r="BF122" s="10">
        <v>13</v>
      </c>
      <c r="BG122" s="10">
        <v>3</v>
      </c>
      <c r="BH122" s="10">
        <v>1</v>
      </c>
      <c r="BI122" s="10">
        <v>2</v>
      </c>
      <c r="BJ122" s="10">
        <v>2</v>
      </c>
      <c r="BK122" s="10">
        <v>0</v>
      </c>
      <c r="BL122" s="10">
        <v>0</v>
      </c>
      <c r="BM122" s="10">
        <v>0</v>
      </c>
      <c r="BN122" s="10">
        <v>0</v>
      </c>
      <c r="BO122" s="10">
        <v>0</v>
      </c>
      <c r="BP122" s="10">
        <v>1</v>
      </c>
      <c r="BQ122" s="10">
        <v>0</v>
      </c>
      <c r="BR122" s="10">
        <v>0</v>
      </c>
      <c r="BS122" s="10">
        <v>25</v>
      </c>
    </row>
    <row r="123" spans="1:71" x14ac:dyDescent="0.55000000000000004">
      <c r="A123" s="10">
        <v>390</v>
      </c>
      <c r="B123" s="10">
        <v>2022</v>
      </c>
      <c r="C123" s="10">
        <v>4327</v>
      </c>
      <c r="D123" s="10">
        <v>29080</v>
      </c>
      <c r="E123" s="10">
        <v>1</v>
      </c>
      <c r="F123" s="10">
        <v>0</v>
      </c>
      <c r="G123" s="10">
        <v>0</v>
      </c>
      <c r="H123" s="10">
        <v>0</v>
      </c>
      <c r="I123" s="10">
        <v>10053</v>
      </c>
      <c r="J123" s="10">
        <v>0</v>
      </c>
      <c r="K123" s="10">
        <v>0</v>
      </c>
      <c r="L123" s="10">
        <v>2004</v>
      </c>
      <c r="M123" s="10">
        <v>7674</v>
      </c>
      <c r="N123" s="10">
        <v>0</v>
      </c>
      <c r="O123" s="10">
        <v>0</v>
      </c>
      <c r="P123" s="10">
        <v>7980</v>
      </c>
      <c r="Q123" s="10">
        <v>1543</v>
      </c>
      <c r="R123" s="10">
        <v>2177</v>
      </c>
      <c r="S123" s="10">
        <v>64838</v>
      </c>
      <c r="T123" s="10">
        <v>1</v>
      </c>
      <c r="U123" s="10">
        <v>23.160388259764268</v>
      </c>
      <c r="V123" s="10">
        <v>22.808768913342504</v>
      </c>
      <c r="W123" s="10">
        <v>56.451745877788554</v>
      </c>
      <c r="X123" s="10">
        <v>0</v>
      </c>
      <c r="Y123" s="10">
        <v>0</v>
      </c>
      <c r="Z123" s="10">
        <v>0</v>
      </c>
      <c r="AA123" s="10">
        <v>0</v>
      </c>
      <c r="AB123" s="10">
        <v>28.163533273649655</v>
      </c>
      <c r="AC123" s="10">
        <v>0</v>
      </c>
      <c r="AD123" s="10">
        <v>0</v>
      </c>
      <c r="AE123" s="10">
        <v>26.931137724550897</v>
      </c>
      <c r="AF123" s="10">
        <v>51.559551733124835</v>
      </c>
      <c r="AG123" s="10">
        <v>0</v>
      </c>
      <c r="AH123" s="10">
        <v>0</v>
      </c>
      <c r="AI123" s="10">
        <v>47.100877192982452</v>
      </c>
      <c r="AJ123" s="10">
        <v>0</v>
      </c>
      <c r="AK123" s="10">
        <v>34.845755022683086</v>
      </c>
      <c r="AL123" s="10">
        <v>22.352779053743681</v>
      </c>
      <c r="AM123" s="10">
        <v>0</v>
      </c>
      <c r="AN123" s="10">
        <v>1</v>
      </c>
      <c r="AO123" s="10">
        <v>41</v>
      </c>
      <c r="AP123" s="10">
        <v>13</v>
      </c>
      <c r="AQ123" s="10">
        <v>8</v>
      </c>
      <c r="AR123" s="10">
        <v>5</v>
      </c>
      <c r="AS123" s="10">
        <v>0</v>
      </c>
      <c r="AT123" s="10">
        <v>5</v>
      </c>
      <c r="AU123" s="10">
        <v>2</v>
      </c>
      <c r="AV123" s="10">
        <v>0</v>
      </c>
      <c r="AW123" s="10">
        <v>1</v>
      </c>
      <c r="AX123" s="10">
        <v>8</v>
      </c>
      <c r="AY123" s="10">
        <v>0</v>
      </c>
      <c r="AZ123" s="10">
        <v>4</v>
      </c>
      <c r="BA123" s="10">
        <v>2</v>
      </c>
      <c r="BB123" s="10">
        <v>1</v>
      </c>
      <c r="BC123" s="10">
        <v>91</v>
      </c>
      <c r="BD123" s="10">
        <v>1</v>
      </c>
      <c r="BE123" s="10">
        <v>3</v>
      </c>
      <c r="BF123" s="10">
        <v>6</v>
      </c>
      <c r="BG123" s="10">
        <v>10</v>
      </c>
      <c r="BH123" s="10">
        <v>0</v>
      </c>
      <c r="BI123" s="10">
        <v>0</v>
      </c>
      <c r="BJ123" s="10">
        <v>2</v>
      </c>
      <c r="BK123" s="10">
        <v>0</v>
      </c>
      <c r="BL123" s="10">
        <v>0</v>
      </c>
      <c r="BM123" s="10">
        <v>0</v>
      </c>
      <c r="BN123" s="10">
        <v>0</v>
      </c>
      <c r="BO123" s="10">
        <v>0</v>
      </c>
      <c r="BP123" s="10">
        <v>1</v>
      </c>
      <c r="BQ123" s="10">
        <v>2</v>
      </c>
      <c r="BR123" s="10">
        <v>0</v>
      </c>
      <c r="BS123" s="10">
        <v>25</v>
      </c>
    </row>
    <row r="124" spans="1:71" x14ac:dyDescent="0.55000000000000004">
      <c r="A124" s="10">
        <v>989</v>
      </c>
      <c r="B124" s="10">
        <v>2022</v>
      </c>
      <c r="C124" s="10">
        <v>6214</v>
      </c>
      <c r="D124" s="10">
        <v>29145</v>
      </c>
      <c r="E124" s="10">
        <v>15038</v>
      </c>
      <c r="F124" s="10">
        <v>9814</v>
      </c>
      <c r="G124" s="10">
        <v>7695</v>
      </c>
      <c r="H124" s="10">
        <v>0</v>
      </c>
      <c r="I124" s="10">
        <v>18366</v>
      </c>
      <c r="J124" s="10">
        <v>0</v>
      </c>
      <c r="K124" s="10">
        <v>0</v>
      </c>
      <c r="L124" s="10">
        <v>2089</v>
      </c>
      <c r="M124" s="10">
        <v>2154</v>
      </c>
      <c r="N124" s="10">
        <v>0</v>
      </c>
      <c r="O124" s="10">
        <v>4326</v>
      </c>
      <c r="P124" s="10">
        <v>11501</v>
      </c>
      <c r="Q124" s="10">
        <v>2080</v>
      </c>
      <c r="R124" s="10">
        <v>783</v>
      </c>
      <c r="S124" s="10">
        <v>72332</v>
      </c>
      <c r="T124" s="10">
        <v>36873</v>
      </c>
      <c r="U124" s="10">
        <v>14.903121982619888</v>
      </c>
      <c r="V124" s="10">
        <v>21.209572825527534</v>
      </c>
      <c r="W124" s="10">
        <v>0</v>
      </c>
      <c r="X124" s="10">
        <v>12.314071020082459</v>
      </c>
      <c r="Y124" s="10">
        <v>20.130018341145306</v>
      </c>
      <c r="Z124" s="10">
        <v>18.381416504223523</v>
      </c>
      <c r="AA124" s="10">
        <v>0</v>
      </c>
      <c r="AB124" s="10">
        <v>26.802951105303276</v>
      </c>
      <c r="AC124" s="10">
        <v>0</v>
      </c>
      <c r="AD124" s="10">
        <v>0</v>
      </c>
      <c r="AE124" s="10">
        <v>0</v>
      </c>
      <c r="AF124" s="10">
        <v>37.761374187558033</v>
      </c>
      <c r="AG124" s="10">
        <v>0</v>
      </c>
      <c r="AH124" s="10">
        <v>11.128987517337031</v>
      </c>
      <c r="AI124" s="10">
        <v>32.40292148508825</v>
      </c>
      <c r="AJ124" s="10">
        <v>0</v>
      </c>
      <c r="AK124" s="10">
        <v>24.18028846153846</v>
      </c>
      <c r="AL124" s="10">
        <v>21.531289910600258</v>
      </c>
      <c r="AM124" s="10">
        <v>0</v>
      </c>
      <c r="AN124" s="10">
        <v>3</v>
      </c>
      <c r="AO124" s="10">
        <v>5</v>
      </c>
      <c r="AP124" s="10">
        <v>12</v>
      </c>
      <c r="AQ124" s="10">
        <v>5</v>
      </c>
      <c r="AR124" s="10">
        <v>4</v>
      </c>
      <c r="AS124" s="10">
        <v>0</v>
      </c>
      <c r="AT124" s="10">
        <v>10</v>
      </c>
      <c r="AU124" s="10">
        <v>2</v>
      </c>
      <c r="AV124" s="10">
        <v>0</v>
      </c>
      <c r="AW124" s="10">
        <v>1</v>
      </c>
      <c r="AX124" s="10">
        <v>2</v>
      </c>
      <c r="AY124" s="10">
        <v>0</v>
      </c>
      <c r="AZ124" s="10">
        <v>4</v>
      </c>
      <c r="BA124" s="10">
        <v>1</v>
      </c>
      <c r="BB124" s="10">
        <v>1</v>
      </c>
      <c r="BC124" s="10">
        <v>50</v>
      </c>
      <c r="BD124" s="10">
        <v>0</v>
      </c>
      <c r="BE124" s="10">
        <v>0</v>
      </c>
      <c r="BF124" s="10">
        <v>14</v>
      </c>
      <c r="BG124" s="10">
        <v>8</v>
      </c>
      <c r="BH124" s="10">
        <v>0</v>
      </c>
      <c r="BI124" s="10">
        <v>0</v>
      </c>
      <c r="BJ124" s="10">
        <v>1</v>
      </c>
      <c r="BK124" s="10">
        <v>0</v>
      </c>
      <c r="BL124" s="10">
        <v>0</v>
      </c>
      <c r="BM124" s="10">
        <v>0</v>
      </c>
      <c r="BN124" s="10">
        <v>0</v>
      </c>
      <c r="BO124" s="10">
        <v>0</v>
      </c>
      <c r="BP124" s="10">
        <v>1</v>
      </c>
      <c r="BQ124" s="10">
        <v>0</v>
      </c>
      <c r="BR124" s="10">
        <v>0</v>
      </c>
      <c r="BS124" s="10">
        <v>24</v>
      </c>
    </row>
    <row r="125" spans="1:71" x14ac:dyDescent="0.55000000000000004">
      <c r="A125" s="10">
        <v>602</v>
      </c>
      <c r="B125" s="10">
        <v>2022</v>
      </c>
      <c r="C125" s="10">
        <v>7772</v>
      </c>
      <c r="D125" s="10">
        <v>29200</v>
      </c>
      <c r="E125" s="10">
        <v>6641</v>
      </c>
      <c r="F125" s="10">
        <v>7721</v>
      </c>
      <c r="G125" s="10">
        <v>7372</v>
      </c>
      <c r="H125" s="10">
        <v>1456</v>
      </c>
      <c r="I125" s="10">
        <v>8175</v>
      </c>
      <c r="J125" s="10">
        <v>222</v>
      </c>
      <c r="K125" s="10">
        <v>0</v>
      </c>
      <c r="L125" s="10">
        <v>4357</v>
      </c>
      <c r="M125" s="10">
        <v>3508</v>
      </c>
      <c r="N125" s="10">
        <v>0</v>
      </c>
      <c r="O125" s="10">
        <v>1872</v>
      </c>
      <c r="P125" s="10">
        <v>2509</v>
      </c>
      <c r="Q125" s="10">
        <v>1270</v>
      </c>
      <c r="R125" s="10">
        <v>6227</v>
      </c>
      <c r="S125" s="10">
        <v>63240</v>
      </c>
      <c r="T125" s="10">
        <v>25062</v>
      </c>
      <c r="U125" s="10">
        <v>18.134457025218733</v>
      </c>
      <c r="V125" s="10">
        <v>22.990616438356163</v>
      </c>
      <c r="W125" s="10">
        <v>33.347413793103449</v>
      </c>
      <c r="X125" s="10">
        <v>17.87471766300256</v>
      </c>
      <c r="Y125" s="10">
        <v>38.723869965030431</v>
      </c>
      <c r="Z125" s="10">
        <v>23.448317959848072</v>
      </c>
      <c r="AA125" s="10">
        <v>15.714285714285714</v>
      </c>
      <c r="AB125" s="10">
        <v>29.776269113149848</v>
      </c>
      <c r="AC125" s="10">
        <v>53.480392156862749</v>
      </c>
      <c r="AD125" s="10">
        <v>0</v>
      </c>
      <c r="AE125" s="10">
        <v>21.864585724122101</v>
      </c>
      <c r="AF125" s="10">
        <v>45.383979475484608</v>
      </c>
      <c r="AG125" s="10">
        <v>0</v>
      </c>
      <c r="AH125" s="10">
        <v>28.142094017094017</v>
      </c>
      <c r="AI125" s="10">
        <v>46.932642487046628</v>
      </c>
      <c r="AJ125" s="10">
        <v>62.851381966470321</v>
      </c>
      <c r="AK125" s="10">
        <v>32.607086614173227</v>
      </c>
      <c r="AL125" s="10">
        <v>22.633370804560784</v>
      </c>
      <c r="AM125" s="10">
        <v>0</v>
      </c>
      <c r="AN125" s="10">
        <v>2</v>
      </c>
      <c r="AO125" s="10">
        <v>4</v>
      </c>
      <c r="AP125" s="10">
        <v>8</v>
      </c>
      <c r="AQ125" s="10">
        <v>4</v>
      </c>
      <c r="AR125" s="10">
        <v>4</v>
      </c>
      <c r="AS125" s="10">
        <v>1</v>
      </c>
      <c r="AT125" s="10">
        <v>3</v>
      </c>
      <c r="AU125" s="10">
        <v>1</v>
      </c>
      <c r="AV125" s="10">
        <v>0</v>
      </c>
      <c r="AW125" s="10">
        <v>3</v>
      </c>
      <c r="AX125" s="10">
        <v>2</v>
      </c>
      <c r="AY125" s="10">
        <v>0</v>
      </c>
      <c r="AZ125" s="10">
        <v>2</v>
      </c>
      <c r="BA125" s="10">
        <v>1</v>
      </c>
      <c r="BB125" s="10">
        <v>1</v>
      </c>
      <c r="BC125" s="10">
        <v>36</v>
      </c>
      <c r="BD125" s="10">
        <v>2</v>
      </c>
      <c r="BE125" s="10">
        <v>0</v>
      </c>
      <c r="BF125" s="10">
        <v>8</v>
      </c>
      <c r="BG125" s="10">
        <v>5</v>
      </c>
      <c r="BH125" s="10">
        <v>3</v>
      </c>
      <c r="BI125" s="10">
        <v>0</v>
      </c>
      <c r="BJ125" s="10">
        <v>2</v>
      </c>
      <c r="BK125" s="10">
        <v>0</v>
      </c>
      <c r="BL125" s="10">
        <v>0</v>
      </c>
      <c r="BM125" s="10">
        <v>0</v>
      </c>
      <c r="BN125" s="10">
        <v>0</v>
      </c>
      <c r="BO125" s="10">
        <v>0</v>
      </c>
      <c r="BP125" s="10">
        <v>1</v>
      </c>
      <c r="BQ125" s="10">
        <v>0</v>
      </c>
      <c r="BR125" s="10">
        <v>1</v>
      </c>
      <c r="BS125" s="10">
        <v>22</v>
      </c>
    </row>
    <row r="126" spans="1:71" x14ac:dyDescent="0.55000000000000004">
      <c r="A126" s="10">
        <v>103</v>
      </c>
      <c r="B126" s="10">
        <v>2022</v>
      </c>
      <c r="C126" s="10">
        <v>4147</v>
      </c>
      <c r="D126" s="10">
        <v>29427</v>
      </c>
      <c r="E126" s="10">
        <v>25797</v>
      </c>
      <c r="F126" s="10">
        <v>12228</v>
      </c>
      <c r="G126" s="10">
        <v>16460</v>
      </c>
      <c r="H126" s="10">
        <v>0</v>
      </c>
      <c r="I126" s="10">
        <v>21209</v>
      </c>
      <c r="J126" s="10">
        <v>0</v>
      </c>
      <c r="K126" s="10">
        <v>0</v>
      </c>
      <c r="L126" s="10">
        <v>4311</v>
      </c>
      <c r="M126" s="10">
        <v>14387</v>
      </c>
      <c r="N126" s="10">
        <v>1110</v>
      </c>
      <c r="O126" s="10">
        <v>5333</v>
      </c>
      <c r="P126" s="10">
        <v>29626</v>
      </c>
      <c r="Q126" s="10">
        <v>4221</v>
      </c>
      <c r="R126" s="10">
        <v>91607</v>
      </c>
      <c r="S126" s="10">
        <v>200045</v>
      </c>
      <c r="T126" s="10">
        <v>59818</v>
      </c>
      <c r="U126" s="10">
        <v>21.931275620930794</v>
      </c>
      <c r="V126" s="10">
        <v>16.992285995854147</v>
      </c>
      <c r="W126" s="10">
        <v>0</v>
      </c>
      <c r="X126" s="10">
        <v>20.824204364848626</v>
      </c>
      <c r="Y126" s="10">
        <v>32.62054301602879</v>
      </c>
      <c r="Z126" s="10">
        <v>17.690036452004861</v>
      </c>
      <c r="AA126" s="10">
        <v>0</v>
      </c>
      <c r="AB126" s="10">
        <v>27.316280824178413</v>
      </c>
      <c r="AC126" s="10">
        <v>37.590792838874677</v>
      </c>
      <c r="AD126" s="10">
        <v>0</v>
      </c>
      <c r="AE126" s="10">
        <v>20.968916724657852</v>
      </c>
      <c r="AF126" s="10">
        <v>41.112184611107253</v>
      </c>
      <c r="AG126" s="10">
        <v>23.400900900900901</v>
      </c>
      <c r="AH126" s="10">
        <v>32.911869491843241</v>
      </c>
      <c r="AI126" s="10">
        <v>34.822014446769728</v>
      </c>
      <c r="AJ126" s="10">
        <v>62.386776859504131</v>
      </c>
      <c r="AK126" s="10">
        <v>28.270315091210612</v>
      </c>
      <c r="AL126" s="10">
        <v>19.489198423701247</v>
      </c>
      <c r="AM126" s="10">
        <v>0</v>
      </c>
      <c r="AN126" s="10">
        <v>2</v>
      </c>
      <c r="AO126" s="10">
        <v>6</v>
      </c>
      <c r="AP126" s="10">
        <v>7</v>
      </c>
      <c r="AQ126" s="10">
        <v>8</v>
      </c>
      <c r="AR126" s="10">
        <v>7</v>
      </c>
      <c r="AS126" s="10">
        <v>0</v>
      </c>
      <c r="AT126" s="10">
        <v>7</v>
      </c>
      <c r="AU126" s="10">
        <v>1</v>
      </c>
      <c r="AV126" s="10">
        <v>0</v>
      </c>
      <c r="AW126" s="10">
        <v>2</v>
      </c>
      <c r="AX126" s="10">
        <v>6</v>
      </c>
      <c r="AY126" s="10">
        <v>0</v>
      </c>
      <c r="AZ126" s="10">
        <v>7</v>
      </c>
      <c r="BA126" s="10">
        <v>2</v>
      </c>
      <c r="BB126" s="10">
        <v>20</v>
      </c>
      <c r="BC126" s="10">
        <v>75</v>
      </c>
      <c r="BD126" s="10">
        <v>0</v>
      </c>
      <c r="BE126" s="10">
        <v>1</v>
      </c>
      <c r="BF126" s="10">
        <v>6</v>
      </c>
      <c r="BG126" s="10">
        <v>5</v>
      </c>
      <c r="BH126" s="10">
        <v>1</v>
      </c>
      <c r="BI126" s="10">
        <v>0</v>
      </c>
      <c r="BJ126" s="10">
        <v>1</v>
      </c>
      <c r="BK126" s="10">
        <v>0</v>
      </c>
      <c r="BL126" s="10">
        <v>0</v>
      </c>
      <c r="BM126" s="10">
        <v>0</v>
      </c>
      <c r="BN126" s="10">
        <v>1</v>
      </c>
      <c r="BO126" s="10">
        <v>2</v>
      </c>
      <c r="BP126" s="10">
        <v>3</v>
      </c>
      <c r="BQ126" s="10">
        <v>0</v>
      </c>
      <c r="BR126" s="10">
        <v>6</v>
      </c>
      <c r="BS126" s="10">
        <v>26</v>
      </c>
    </row>
    <row r="127" spans="1:71" x14ac:dyDescent="0.55000000000000004">
      <c r="A127" s="10">
        <v>881</v>
      </c>
      <c r="B127" s="10">
        <v>2022</v>
      </c>
      <c r="C127" s="10">
        <v>4093</v>
      </c>
      <c r="D127" s="10">
        <v>29502</v>
      </c>
      <c r="E127" s="10">
        <v>26843</v>
      </c>
      <c r="F127" s="10">
        <v>8200</v>
      </c>
      <c r="G127" s="10">
        <v>2888</v>
      </c>
      <c r="H127" s="10">
        <v>500</v>
      </c>
      <c r="I127" s="10">
        <v>9955</v>
      </c>
      <c r="J127" s="10">
        <v>4152</v>
      </c>
      <c r="K127" s="10">
        <v>0</v>
      </c>
      <c r="L127" s="10">
        <v>10917</v>
      </c>
      <c r="M127" s="10">
        <v>6928</v>
      </c>
      <c r="N127" s="10">
        <v>0</v>
      </c>
      <c r="O127" s="10">
        <v>5845</v>
      </c>
      <c r="P127" s="10">
        <v>12304</v>
      </c>
      <c r="Q127" s="10">
        <v>10457</v>
      </c>
      <c r="R127" s="10">
        <v>2155</v>
      </c>
      <c r="S127" s="10">
        <v>90463</v>
      </c>
      <c r="T127" s="10">
        <v>44276</v>
      </c>
      <c r="U127" s="10">
        <v>20.348644026386513</v>
      </c>
      <c r="V127" s="10">
        <v>22.543183512982171</v>
      </c>
      <c r="W127" s="10">
        <v>32.60658619784833</v>
      </c>
      <c r="X127" s="10">
        <v>14.26465000186268</v>
      </c>
      <c r="Y127" s="10">
        <v>40.7630487804878</v>
      </c>
      <c r="Z127" s="10">
        <v>19.192174515235457</v>
      </c>
      <c r="AA127" s="10">
        <v>21.774000000000001</v>
      </c>
      <c r="AB127" s="10">
        <v>36.336112506278255</v>
      </c>
      <c r="AC127" s="10">
        <v>50.46518723994452</v>
      </c>
      <c r="AD127" s="10">
        <v>0</v>
      </c>
      <c r="AE127" s="10">
        <v>17.383072272602362</v>
      </c>
      <c r="AF127" s="10">
        <v>47.923354503464203</v>
      </c>
      <c r="AG127" s="10">
        <v>0</v>
      </c>
      <c r="AH127" s="10">
        <v>24.977074422583406</v>
      </c>
      <c r="AI127" s="10">
        <v>41.020318595578672</v>
      </c>
      <c r="AJ127" s="10">
        <v>62.128477948608818</v>
      </c>
      <c r="AK127" s="10">
        <v>26.670173089796307</v>
      </c>
      <c r="AL127" s="10">
        <v>20.707656612529004</v>
      </c>
      <c r="AM127" s="10">
        <v>36.734622144112478</v>
      </c>
      <c r="AN127" s="10">
        <v>2</v>
      </c>
      <c r="AO127" s="10">
        <v>3</v>
      </c>
      <c r="AP127" s="10">
        <v>8</v>
      </c>
      <c r="AQ127" s="10">
        <v>13</v>
      </c>
      <c r="AR127" s="10">
        <v>0</v>
      </c>
      <c r="AS127" s="10">
        <v>0</v>
      </c>
      <c r="AT127" s="10">
        <v>4</v>
      </c>
      <c r="AU127" s="10">
        <v>3</v>
      </c>
      <c r="AV127" s="10">
        <v>0</v>
      </c>
      <c r="AW127" s="10">
        <v>3</v>
      </c>
      <c r="AX127" s="10">
        <v>2</v>
      </c>
      <c r="AY127" s="10">
        <v>0</v>
      </c>
      <c r="AZ127" s="10">
        <v>8</v>
      </c>
      <c r="BA127" s="10">
        <v>5</v>
      </c>
      <c r="BB127" s="10">
        <v>1</v>
      </c>
      <c r="BC127" s="10">
        <v>52</v>
      </c>
      <c r="BD127" s="10">
        <v>0</v>
      </c>
      <c r="BE127" s="10">
        <v>3</v>
      </c>
      <c r="BF127" s="10">
        <v>6</v>
      </c>
      <c r="BG127" s="10">
        <v>7</v>
      </c>
      <c r="BH127" s="10">
        <v>0</v>
      </c>
      <c r="BI127" s="10">
        <v>0</v>
      </c>
      <c r="BJ127" s="10">
        <v>2</v>
      </c>
      <c r="BK127" s="10">
        <v>0</v>
      </c>
      <c r="BL127" s="10">
        <v>0</v>
      </c>
      <c r="BM127" s="10">
        <v>0</v>
      </c>
      <c r="BN127" s="10">
        <v>1</v>
      </c>
      <c r="BO127" s="10">
        <v>0</v>
      </c>
      <c r="BP127" s="10">
        <v>3</v>
      </c>
      <c r="BQ127" s="10">
        <v>0</v>
      </c>
      <c r="BR127" s="10">
        <v>0</v>
      </c>
      <c r="BS127" s="10">
        <v>22</v>
      </c>
    </row>
    <row r="128" spans="1:71" x14ac:dyDescent="0.55000000000000004">
      <c r="A128" s="10">
        <v>491</v>
      </c>
      <c r="B128" s="10">
        <v>2022</v>
      </c>
      <c r="C128" s="10">
        <v>7993</v>
      </c>
      <c r="D128" s="10">
        <v>29697</v>
      </c>
      <c r="E128" s="10">
        <v>14791</v>
      </c>
      <c r="F128" s="10">
        <v>982</v>
      </c>
      <c r="G128" s="10">
        <v>2549</v>
      </c>
      <c r="H128" s="10">
        <v>1862</v>
      </c>
      <c r="I128" s="10">
        <v>16961</v>
      </c>
      <c r="J128" s="10">
        <v>0</v>
      </c>
      <c r="K128" s="10">
        <v>0</v>
      </c>
      <c r="L128" s="10">
        <v>3305</v>
      </c>
      <c r="M128" s="10">
        <v>2764</v>
      </c>
      <c r="N128" s="10">
        <v>0</v>
      </c>
      <c r="O128" s="10">
        <v>2487</v>
      </c>
      <c r="P128" s="10">
        <v>8603</v>
      </c>
      <c r="Q128" s="10">
        <v>2080</v>
      </c>
      <c r="R128" s="10">
        <v>5153</v>
      </c>
      <c r="S128" s="10">
        <v>76556</v>
      </c>
      <c r="T128" s="10">
        <v>22671</v>
      </c>
      <c r="U128" s="10">
        <v>25.18954084824221</v>
      </c>
      <c r="V128" s="10">
        <v>25.391958783715527</v>
      </c>
      <c r="W128" s="10">
        <v>34.200636309405446</v>
      </c>
      <c r="X128" s="10">
        <v>21.515854235683861</v>
      </c>
      <c r="Y128" s="10">
        <v>48.946028513238282</v>
      </c>
      <c r="Z128" s="10">
        <v>22.006276971361316</v>
      </c>
      <c r="AA128" s="10">
        <v>17.534908700322234</v>
      </c>
      <c r="AB128" s="10">
        <v>32.307705913566416</v>
      </c>
      <c r="AC128" s="10">
        <v>51.48918083462133</v>
      </c>
      <c r="AD128" s="10">
        <v>0</v>
      </c>
      <c r="AE128" s="10">
        <v>22.706505295007563</v>
      </c>
      <c r="AF128" s="10">
        <v>52.431620839363241</v>
      </c>
      <c r="AG128" s="10">
        <v>0</v>
      </c>
      <c r="AH128" s="10">
        <v>29.61761158021713</v>
      </c>
      <c r="AI128" s="10">
        <v>50.07311402998954</v>
      </c>
      <c r="AJ128" s="10">
        <v>61.675593734209194</v>
      </c>
      <c r="AK128" s="10">
        <v>37.157692307692308</v>
      </c>
      <c r="AL128" s="10">
        <v>24.193479526489423</v>
      </c>
      <c r="AM128" s="10">
        <v>0</v>
      </c>
      <c r="AN128" s="10">
        <v>3</v>
      </c>
      <c r="AO128" s="10">
        <v>0</v>
      </c>
      <c r="AP128" s="10">
        <v>16</v>
      </c>
      <c r="AQ128" s="10">
        <v>0</v>
      </c>
      <c r="AR128" s="10">
        <v>0</v>
      </c>
      <c r="AS128" s="10">
        <v>0</v>
      </c>
      <c r="AT128" s="10">
        <v>7</v>
      </c>
      <c r="AU128" s="10">
        <v>0</v>
      </c>
      <c r="AV128" s="10">
        <v>0</v>
      </c>
      <c r="AW128" s="10">
        <v>2</v>
      </c>
      <c r="AX128" s="10">
        <v>2</v>
      </c>
      <c r="AY128" s="10">
        <v>0</v>
      </c>
      <c r="AZ128" s="10">
        <v>3</v>
      </c>
      <c r="BA128" s="10">
        <v>1</v>
      </c>
      <c r="BB128" s="10">
        <v>1</v>
      </c>
      <c r="BC128" s="10">
        <v>35</v>
      </c>
      <c r="BD128" s="10">
        <v>0</v>
      </c>
      <c r="BE128" s="10">
        <v>0</v>
      </c>
      <c r="BF128" s="10">
        <v>15</v>
      </c>
      <c r="BG128" s="10">
        <v>0</v>
      </c>
      <c r="BH128" s="10">
        <v>0</v>
      </c>
      <c r="BI128" s="10">
        <v>0</v>
      </c>
      <c r="BJ128" s="10">
        <v>2</v>
      </c>
      <c r="BK128" s="10">
        <v>0</v>
      </c>
      <c r="BL128" s="10">
        <v>0</v>
      </c>
      <c r="BM128" s="10">
        <v>0</v>
      </c>
      <c r="BN128" s="10">
        <v>0</v>
      </c>
      <c r="BO128" s="10">
        <v>0</v>
      </c>
      <c r="BP128" s="10">
        <v>0</v>
      </c>
      <c r="BQ128" s="10">
        <v>0</v>
      </c>
      <c r="BR128" s="10">
        <v>0</v>
      </c>
      <c r="BS128" s="10">
        <v>17</v>
      </c>
    </row>
    <row r="129" spans="1:71" x14ac:dyDescent="0.55000000000000004">
      <c r="A129" s="10">
        <v>460</v>
      </c>
      <c r="B129" s="10">
        <v>2022</v>
      </c>
      <c r="C129" s="10">
        <v>7239</v>
      </c>
      <c r="D129" s="10">
        <v>29885</v>
      </c>
      <c r="E129" s="10">
        <v>23801</v>
      </c>
      <c r="F129" s="10">
        <v>10062</v>
      </c>
      <c r="G129" s="10">
        <v>13615</v>
      </c>
      <c r="H129" s="10">
        <v>810</v>
      </c>
      <c r="I129" s="10">
        <v>10772</v>
      </c>
      <c r="J129" s="10">
        <v>0</v>
      </c>
      <c r="K129" s="10">
        <v>0</v>
      </c>
      <c r="L129" s="10">
        <v>6406</v>
      </c>
      <c r="M129" s="10">
        <v>3745</v>
      </c>
      <c r="N129" s="10">
        <v>0</v>
      </c>
      <c r="O129" s="10">
        <v>7748</v>
      </c>
      <c r="P129" s="10">
        <v>10341</v>
      </c>
      <c r="Q129" s="10">
        <v>3289</v>
      </c>
      <c r="R129" s="10">
        <v>0</v>
      </c>
      <c r="S129" s="10">
        <v>71677</v>
      </c>
      <c r="T129" s="10">
        <v>56036</v>
      </c>
      <c r="U129" s="10">
        <v>20.369111755767371</v>
      </c>
      <c r="V129" s="10">
        <v>25.833294294796719</v>
      </c>
      <c r="W129" s="10">
        <v>33.43331053351573</v>
      </c>
      <c r="X129" s="10">
        <v>9.4386370320574766</v>
      </c>
      <c r="Y129" s="10">
        <v>36.050288213078908</v>
      </c>
      <c r="Z129" s="10">
        <v>22.126992287917734</v>
      </c>
      <c r="AA129" s="10">
        <v>46.272839506172843</v>
      </c>
      <c r="AB129" s="10">
        <v>37.236353509097654</v>
      </c>
      <c r="AC129" s="10">
        <v>48.72843256379101</v>
      </c>
      <c r="AD129" s="10">
        <v>0</v>
      </c>
      <c r="AE129" s="10">
        <v>0</v>
      </c>
      <c r="AF129" s="10">
        <v>25.979439252336448</v>
      </c>
      <c r="AG129" s="10">
        <v>0</v>
      </c>
      <c r="AH129" s="10">
        <v>27.112803304078469</v>
      </c>
      <c r="AI129" s="10">
        <v>47.340876124165938</v>
      </c>
      <c r="AJ129" s="10">
        <v>61.106955380577432</v>
      </c>
      <c r="AK129" s="10">
        <v>26.482517482517483</v>
      </c>
      <c r="AL129" s="10">
        <v>0</v>
      </c>
      <c r="AM129" s="10">
        <v>0</v>
      </c>
      <c r="AN129" s="10">
        <v>3</v>
      </c>
      <c r="AO129" s="10">
        <v>4</v>
      </c>
      <c r="AP129" s="10">
        <v>5</v>
      </c>
      <c r="AQ129" s="10">
        <v>11</v>
      </c>
      <c r="AR129" s="10">
        <v>7</v>
      </c>
      <c r="AS129" s="10">
        <v>0</v>
      </c>
      <c r="AT129" s="10">
        <v>5</v>
      </c>
      <c r="AU129" s="10">
        <v>3</v>
      </c>
      <c r="AV129" s="10">
        <v>0</v>
      </c>
      <c r="AW129" s="10">
        <v>2</v>
      </c>
      <c r="AX129" s="10">
        <v>1</v>
      </c>
      <c r="AY129" s="10">
        <v>0</v>
      </c>
      <c r="AZ129" s="10">
        <v>6</v>
      </c>
      <c r="BA129" s="10">
        <v>1</v>
      </c>
      <c r="BB129" s="10">
        <v>0</v>
      </c>
      <c r="BC129" s="10">
        <v>48</v>
      </c>
      <c r="BD129" s="10">
        <v>1</v>
      </c>
      <c r="BE129" s="10">
        <v>0</v>
      </c>
      <c r="BF129" s="10">
        <v>13</v>
      </c>
      <c r="BG129" s="10">
        <v>13</v>
      </c>
      <c r="BH129" s="10">
        <v>1</v>
      </c>
      <c r="BI129" s="10">
        <v>1</v>
      </c>
      <c r="BJ129" s="10">
        <v>2</v>
      </c>
      <c r="BK129" s="10">
        <v>1</v>
      </c>
      <c r="BL129" s="10">
        <v>0</v>
      </c>
      <c r="BM129" s="10">
        <v>0</v>
      </c>
      <c r="BN129" s="10">
        <v>0</v>
      </c>
      <c r="BO129" s="10">
        <v>0</v>
      </c>
      <c r="BP129" s="10">
        <v>0</v>
      </c>
      <c r="BQ129" s="10">
        <v>0</v>
      </c>
      <c r="BR129" s="10">
        <v>0</v>
      </c>
      <c r="BS129" s="10">
        <v>32</v>
      </c>
    </row>
    <row r="130" spans="1:71" x14ac:dyDescent="0.55000000000000004">
      <c r="A130" s="10">
        <v>644</v>
      </c>
      <c r="B130" s="10">
        <v>2022</v>
      </c>
      <c r="C130" s="10">
        <v>4600</v>
      </c>
      <c r="D130" s="10">
        <v>29940</v>
      </c>
      <c r="E130" s="10">
        <v>9617</v>
      </c>
      <c r="F130" s="10">
        <v>4180</v>
      </c>
      <c r="G130" s="10">
        <v>1943</v>
      </c>
      <c r="H130" s="10">
        <v>2171</v>
      </c>
      <c r="I130" s="10">
        <v>9239</v>
      </c>
      <c r="J130" s="10">
        <v>0</v>
      </c>
      <c r="K130" s="10">
        <v>0</v>
      </c>
      <c r="L130" s="10">
        <v>2123</v>
      </c>
      <c r="M130" s="10">
        <v>4133</v>
      </c>
      <c r="N130" s="10">
        <v>0</v>
      </c>
      <c r="O130" s="10">
        <v>2214</v>
      </c>
      <c r="P130" s="10">
        <v>7318</v>
      </c>
      <c r="Q130" s="10">
        <v>1920</v>
      </c>
      <c r="R130" s="10">
        <v>168</v>
      </c>
      <c r="S130" s="10">
        <v>59441</v>
      </c>
      <c r="T130" s="10">
        <v>20125</v>
      </c>
      <c r="U130" s="10">
        <v>18.277608695652173</v>
      </c>
      <c r="V130" s="10">
        <v>20.696559786239145</v>
      </c>
      <c r="W130" s="10">
        <v>34.907801418439718</v>
      </c>
      <c r="X130" s="10">
        <v>17.061765623375273</v>
      </c>
      <c r="Y130" s="10">
        <v>36.961004784688996</v>
      </c>
      <c r="Z130" s="10">
        <v>16.905815748841999</v>
      </c>
      <c r="AA130" s="10">
        <v>14.986181483187471</v>
      </c>
      <c r="AB130" s="10">
        <v>32.396471479597359</v>
      </c>
      <c r="AC130" s="10">
        <v>51.384615384615387</v>
      </c>
      <c r="AD130" s="10">
        <v>0</v>
      </c>
      <c r="AE130" s="10">
        <v>20.043805934997646</v>
      </c>
      <c r="AF130" s="10">
        <v>64.037503024437456</v>
      </c>
      <c r="AG130" s="10">
        <v>0</v>
      </c>
      <c r="AH130" s="10">
        <v>33.234869015356821</v>
      </c>
      <c r="AI130" s="10">
        <v>38.483055479639248</v>
      </c>
      <c r="AJ130" s="10">
        <v>52.029931972789122</v>
      </c>
      <c r="AK130" s="10">
        <v>27.691666666666663</v>
      </c>
      <c r="AL130" s="10">
        <v>21.595238095238098</v>
      </c>
      <c r="AM130" s="10">
        <v>0</v>
      </c>
      <c r="AN130" s="10">
        <v>3</v>
      </c>
      <c r="AO130" s="10">
        <v>2</v>
      </c>
      <c r="AP130" s="10">
        <v>12</v>
      </c>
      <c r="AQ130" s="10">
        <v>4</v>
      </c>
      <c r="AR130" s="10">
        <v>2</v>
      </c>
      <c r="AS130" s="10">
        <v>0</v>
      </c>
      <c r="AT130" s="10">
        <v>5</v>
      </c>
      <c r="AU130" s="10">
        <v>1</v>
      </c>
      <c r="AV130" s="10">
        <v>0</v>
      </c>
      <c r="AW130" s="10">
        <v>1</v>
      </c>
      <c r="AX130" s="10">
        <v>2</v>
      </c>
      <c r="AY130" s="10">
        <v>0</v>
      </c>
      <c r="AZ130" s="10">
        <v>5</v>
      </c>
      <c r="BA130" s="10">
        <v>1</v>
      </c>
      <c r="BB130" s="10">
        <v>0</v>
      </c>
      <c r="BC130" s="10">
        <v>38</v>
      </c>
      <c r="BD130" s="10">
        <v>0</v>
      </c>
      <c r="BE130" s="10">
        <v>0</v>
      </c>
      <c r="BF130" s="10">
        <v>7</v>
      </c>
      <c r="BG130" s="10">
        <v>4</v>
      </c>
      <c r="BH130" s="10">
        <v>0</v>
      </c>
      <c r="BI130" s="10">
        <v>1</v>
      </c>
      <c r="BJ130" s="10">
        <v>2</v>
      </c>
      <c r="BK130" s="10">
        <v>0</v>
      </c>
      <c r="BL130" s="10">
        <v>0</v>
      </c>
      <c r="BM130" s="10">
        <v>0</v>
      </c>
      <c r="BN130" s="10">
        <v>0</v>
      </c>
      <c r="BO130" s="10">
        <v>0</v>
      </c>
      <c r="BP130" s="10">
        <v>2</v>
      </c>
      <c r="BQ130" s="10">
        <v>0</v>
      </c>
      <c r="BR130" s="10">
        <v>0</v>
      </c>
      <c r="BS130" s="10">
        <v>16</v>
      </c>
    </row>
    <row r="131" spans="1:71" x14ac:dyDescent="0.55000000000000004">
      <c r="A131" s="10">
        <v>886</v>
      </c>
      <c r="B131" s="10">
        <v>2022</v>
      </c>
      <c r="C131" s="10">
        <v>881</v>
      </c>
      <c r="D131" s="10">
        <v>30537</v>
      </c>
      <c r="E131" s="10">
        <v>9651</v>
      </c>
      <c r="F131" s="10">
        <v>883</v>
      </c>
      <c r="G131" s="10">
        <v>2414</v>
      </c>
      <c r="H131" s="10">
        <v>0</v>
      </c>
      <c r="I131" s="10">
        <v>9364</v>
      </c>
      <c r="J131" s="10">
        <v>1264</v>
      </c>
      <c r="K131" s="10">
        <v>0</v>
      </c>
      <c r="L131" s="10">
        <v>2139</v>
      </c>
      <c r="M131" s="10">
        <v>2332</v>
      </c>
      <c r="N131" s="10">
        <v>0</v>
      </c>
      <c r="O131" s="10">
        <v>2925</v>
      </c>
      <c r="P131" s="10">
        <v>4255</v>
      </c>
      <c r="Q131" s="10">
        <v>1252</v>
      </c>
      <c r="R131" s="10">
        <v>0</v>
      </c>
      <c r="S131" s="10">
        <v>52024</v>
      </c>
      <c r="T131" s="10">
        <v>15873</v>
      </c>
      <c r="U131" s="10">
        <v>21.922814982973893</v>
      </c>
      <c r="V131" s="10">
        <v>23.911255198611521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34.539619820589493</v>
      </c>
      <c r="AC131" s="10">
        <v>0</v>
      </c>
      <c r="AD131" s="10">
        <v>0</v>
      </c>
      <c r="AE131" s="10">
        <v>22.669004207573632</v>
      </c>
      <c r="AF131" s="10">
        <v>41.683104631217837</v>
      </c>
      <c r="AG131" s="10">
        <v>0</v>
      </c>
      <c r="AH131" s="10">
        <v>0</v>
      </c>
      <c r="AI131" s="10">
        <v>46.11304347826087</v>
      </c>
      <c r="AJ131" s="10">
        <v>0</v>
      </c>
      <c r="AK131" s="10">
        <v>17.583067092651756</v>
      </c>
      <c r="AL131" s="10">
        <v>0</v>
      </c>
      <c r="AM131" s="10">
        <v>0</v>
      </c>
      <c r="AN131" s="10">
        <v>1</v>
      </c>
      <c r="AO131" s="10">
        <v>0</v>
      </c>
      <c r="AP131" s="10">
        <v>9</v>
      </c>
      <c r="AQ131" s="10">
        <v>0</v>
      </c>
      <c r="AR131" s="10">
        <v>0</v>
      </c>
      <c r="AS131" s="10">
        <v>0</v>
      </c>
      <c r="AT131" s="10">
        <v>4</v>
      </c>
      <c r="AU131" s="10">
        <v>0</v>
      </c>
      <c r="AV131" s="10">
        <v>0</v>
      </c>
      <c r="AW131" s="10">
        <v>1</v>
      </c>
      <c r="AX131" s="10">
        <v>1</v>
      </c>
      <c r="AY131" s="10">
        <v>0</v>
      </c>
      <c r="AZ131" s="10">
        <v>2</v>
      </c>
      <c r="BA131" s="10">
        <v>1</v>
      </c>
      <c r="BB131" s="10">
        <v>0</v>
      </c>
      <c r="BC131" s="10">
        <v>19</v>
      </c>
      <c r="BD131" s="10">
        <v>0</v>
      </c>
      <c r="BE131" s="10">
        <v>0</v>
      </c>
      <c r="BF131" s="10">
        <v>4</v>
      </c>
      <c r="BG131" s="10">
        <v>0</v>
      </c>
      <c r="BH131" s="10">
        <v>0</v>
      </c>
      <c r="BI131" s="10">
        <v>0</v>
      </c>
      <c r="BJ131" s="10">
        <v>0</v>
      </c>
      <c r="BK131" s="10">
        <v>0</v>
      </c>
      <c r="BL131" s="10">
        <v>0</v>
      </c>
      <c r="BM131" s="10">
        <v>0</v>
      </c>
      <c r="BN131" s="10">
        <v>0</v>
      </c>
      <c r="BO131" s="10">
        <v>0</v>
      </c>
      <c r="BP131" s="10">
        <v>0</v>
      </c>
      <c r="BQ131" s="10">
        <v>0</v>
      </c>
      <c r="BR131" s="10">
        <v>0</v>
      </c>
      <c r="BS131" s="10">
        <v>4</v>
      </c>
    </row>
    <row r="132" spans="1:71" x14ac:dyDescent="0.55000000000000004">
      <c r="A132" s="10">
        <v>698</v>
      </c>
      <c r="B132" s="10">
        <v>2022</v>
      </c>
      <c r="C132" s="10">
        <v>4431</v>
      </c>
      <c r="D132" s="10">
        <v>30938</v>
      </c>
      <c r="E132" s="10">
        <v>9198</v>
      </c>
      <c r="F132" s="10">
        <v>5784</v>
      </c>
      <c r="G132" s="10">
        <v>3679</v>
      </c>
      <c r="H132" s="10">
        <v>2170</v>
      </c>
      <c r="I132" s="10">
        <v>10616</v>
      </c>
      <c r="J132" s="10">
        <v>0</v>
      </c>
      <c r="K132" s="10">
        <v>0</v>
      </c>
      <c r="L132" s="10">
        <v>2074</v>
      </c>
      <c r="M132" s="10">
        <v>3876</v>
      </c>
      <c r="N132" s="10">
        <v>0</v>
      </c>
      <c r="O132" s="10">
        <v>2652</v>
      </c>
      <c r="P132" s="10">
        <v>1902</v>
      </c>
      <c r="Q132" s="10">
        <v>2032</v>
      </c>
      <c r="R132" s="10">
        <v>7189</v>
      </c>
      <c r="S132" s="10">
        <v>63058</v>
      </c>
      <c r="T132" s="10">
        <v>23483</v>
      </c>
      <c r="U132" s="10">
        <v>17.40825998645904</v>
      </c>
      <c r="V132" s="10">
        <v>20.681621307130388</v>
      </c>
      <c r="W132" s="10">
        <v>30.567567567567568</v>
      </c>
      <c r="X132" s="10">
        <v>19.617199391171994</v>
      </c>
      <c r="Y132" s="10">
        <v>30.411998616874136</v>
      </c>
      <c r="Z132" s="10">
        <v>16.657515629247076</v>
      </c>
      <c r="AA132" s="10">
        <v>23.673271889400919</v>
      </c>
      <c r="AB132" s="10">
        <v>24.80764883195177</v>
      </c>
      <c r="AC132" s="10">
        <v>0</v>
      </c>
      <c r="AD132" s="10">
        <v>0</v>
      </c>
      <c r="AE132" s="10">
        <v>21.037608486017355</v>
      </c>
      <c r="AF132" s="10">
        <v>49.199432404540765</v>
      </c>
      <c r="AG132" s="10">
        <v>0</v>
      </c>
      <c r="AH132" s="10">
        <v>21.571644042232275</v>
      </c>
      <c r="AI132" s="10">
        <v>39.062565720294423</v>
      </c>
      <c r="AJ132" s="10">
        <v>0</v>
      </c>
      <c r="AK132" s="10">
        <v>22.045767716535433</v>
      </c>
      <c r="AL132" s="10">
        <v>23.323688969258587</v>
      </c>
      <c r="AM132" s="10">
        <v>0</v>
      </c>
      <c r="AN132" s="10">
        <v>2</v>
      </c>
      <c r="AO132" s="10">
        <v>3</v>
      </c>
      <c r="AP132" s="10">
        <v>13</v>
      </c>
      <c r="AQ132" s="10">
        <v>1</v>
      </c>
      <c r="AR132" s="10">
        <v>0</v>
      </c>
      <c r="AS132" s="10">
        <v>0</v>
      </c>
      <c r="AT132" s="10">
        <v>4</v>
      </c>
      <c r="AU132" s="10">
        <v>1</v>
      </c>
      <c r="AV132" s="10">
        <v>0</v>
      </c>
      <c r="AW132" s="10">
        <v>1</v>
      </c>
      <c r="AX132" s="10">
        <v>2</v>
      </c>
      <c r="AY132" s="10">
        <v>0</v>
      </c>
      <c r="AZ132" s="10">
        <v>0</v>
      </c>
      <c r="BA132" s="10">
        <v>1</v>
      </c>
      <c r="BB132" s="10">
        <v>2</v>
      </c>
      <c r="BC132" s="10">
        <v>30</v>
      </c>
      <c r="BD132" s="10">
        <v>0</v>
      </c>
      <c r="BE132" s="10">
        <v>0</v>
      </c>
      <c r="BF132" s="10">
        <v>4</v>
      </c>
      <c r="BG132" s="10">
        <v>4</v>
      </c>
      <c r="BH132" s="10">
        <v>0</v>
      </c>
      <c r="BI132" s="10">
        <v>0</v>
      </c>
      <c r="BJ132" s="10">
        <v>1</v>
      </c>
      <c r="BK132" s="10">
        <v>1</v>
      </c>
      <c r="BL132" s="10">
        <v>0</v>
      </c>
      <c r="BM132" s="10">
        <v>0</v>
      </c>
      <c r="BN132" s="10">
        <v>0</v>
      </c>
      <c r="BO132" s="10">
        <v>0</v>
      </c>
      <c r="BP132" s="10">
        <v>0</v>
      </c>
      <c r="BQ132" s="10">
        <v>0</v>
      </c>
      <c r="BR132" s="10">
        <v>0</v>
      </c>
      <c r="BS132" s="10">
        <v>10</v>
      </c>
    </row>
    <row r="133" spans="1:71" x14ac:dyDescent="0.55000000000000004">
      <c r="A133" s="10">
        <v>658</v>
      </c>
      <c r="B133" s="10">
        <v>2022</v>
      </c>
      <c r="C133" s="10">
        <v>4274</v>
      </c>
      <c r="D133" s="10">
        <v>30994</v>
      </c>
      <c r="E133" s="10">
        <v>29139</v>
      </c>
      <c r="F133" s="10">
        <v>10382</v>
      </c>
      <c r="G133" s="10">
        <v>6791</v>
      </c>
      <c r="H133" s="10">
        <v>2165</v>
      </c>
      <c r="I133" s="10">
        <v>11832</v>
      </c>
      <c r="J133" s="10">
        <v>0</v>
      </c>
      <c r="K133" s="10">
        <v>0</v>
      </c>
      <c r="L133" s="10">
        <v>1821</v>
      </c>
      <c r="M133" s="10">
        <v>7153</v>
      </c>
      <c r="N133" s="10">
        <v>0</v>
      </c>
      <c r="O133" s="10">
        <v>2227</v>
      </c>
      <c r="P133" s="10">
        <v>2558</v>
      </c>
      <c r="Q133" s="10">
        <v>2029</v>
      </c>
      <c r="R133" s="10">
        <v>1533</v>
      </c>
      <c r="S133" s="10">
        <v>62194</v>
      </c>
      <c r="T133" s="10">
        <v>50704</v>
      </c>
      <c r="U133" s="10">
        <v>20.412962096396818</v>
      </c>
      <c r="V133" s="10">
        <v>19.964509259856747</v>
      </c>
      <c r="W133" s="10">
        <v>33.760864513130372</v>
      </c>
      <c r="X133" s="10">
        <v>9.5281581385771634</v>
      </c>
      <c r="Y133" s="10">
        <v>28.199383548449241</v>
      </c>
      <c r="Z133" s="10">
        <v>16.814165807686646</v>
      </c>
      <c r="AA133" s="10">
        <v>21.999076212471131</v>
      </c>
      <c r="AB133" s="10">
        <v>27.921315077755242</v>
      </c>
      <c r="AC133" s="10">
        <v>51.054649625385629</v>
      </c>
      <c r="AD133" s="10">
        <v>0</v>
      </c>
      <c r="AE133" s="10">
        <v>15.140032948929161</v>
      </c>
      <c r="AF133" s="10">
        <v>37.266741227457011</v>
      </c>
      <c r="AG133" s="10">
        <v>0</v>
      </c>
      <c r="AH133" s="10">
        <v>25.213291423439603</v>
      </c>
      <c r="AI133" s="10">
        <v>27.8948397185301</v>
      </c>
      <c r="AJ133" s="10">
        <v>62.580258302583026</v>
      </c>
      <c r="AK133" s="10">
        <v>18.570231641202561</v>
      </c>
      <c r="AL133" s="10">
        <v>14.43313763861709</v>
      </c>
      <c r="AM133" s="10">
        <v>0</v>
      </c>
      <c r="AN133" s="10">
        <v>1</v>
      </c>
      <c r="AO133" s="10">
        <v>4</v>
      </c>
      <c r="AP133" s="10">
        <v>6</v>
      </c>
      <c r="AQ133" s="10">
        <v>3</v>
      </c>
      <c r="AR133" s="10">
        <v>2</v>
      </c>
      <c r="AS133" s="10">
        <v>1</v>
      </c>
      <c r="AT133" s="10">
        <v>4</v>
      </c>
      <c r="AU133" s="10">
        <v>2</v>
      </c>
      <c r="AV133" s="10">
        <v>0</v>
      </c>
      <c r="AW133" s="10">
        <v>0</v>
      </c>
      <c r="AX133" s="10">
        <v>3</v>
      </c>
      <c r="AY133" s="10">
        <v>0</v>
      </c>
      <c r="AZ133" s="10">
        <v>0</v>
      </c>
      <c r="BA133" s="10">
        <v>1</v>
      </c>
      <c r="BB133" s="10">
        <v>2</v>
      </c>
      <c r="BC133" s="10">
        <v>29</v>
      </c>
      <c r="BD133" s="10">
        <v>3</v>
      </c>
      <c r="BE133" s="10">
        <v>0</v>
      </c>
      <c r="BF133" s="10">
        <v>19</v>
      </c>
      <c r="BG133" s="10">
        <v>16</v>
      </c>
      <c r="BH133" s="10">
        <v>3</v>
      </c>
      <c r="BI133" s="10">
        <v>1</v>
      </c>
      <c r="BJ133" s="10">
        <v>3</v>
      </c>
      <c r="BK133" s="10">
        <v>0</v>
      </c>
      <c r="BL133" s="10">
        <v>0</v>
      </c>
      <c r="BM133" s="10">
        <v>0</v>
      </c>
      <c r="BN133" s="10">
        <v>0</v>
      </c>
      <c r="BO133" s="10">
        <v>0</v>
      </c>
      <c r="BP133" s="10">
        <v>4</v>
      </c>
      <c r="BQ133" s="10">
        <v>0</v>
      </c>
      <c r="BR133" s="10">
        <v>0</v>
      </c>
      <c r="BS133" s="10">
        <v>49</v>
      </c>
    </row>
    <row r="134" spans="1:71" x14ac:dyDescent="0.55000000000000004">
      <c r="A134" s="10">
        <v>313</v>
      </c>
      <c r="B134" s="10">
        <v>2022</v>
      </c>
      <c r="C134" s="10">
        <v>3944</v>
      </c>
      <c r="D134" s="10">
        <v>31112</v>
      </c>
      <c r="E134" s="10">
        <v>14962</v>
      </c>
      <c r="F134" s="10">
        <v>1937</v>
      </c>
      <c r="G134" s="10">
        <v>5839</v>
      </c>
      <c r="H134" s="10">
        <v>2876</v>
      </c>
      <c r="I134" s="10">
        <v>6556</v>
      </c>
      <c r="J134" s="10">
        <v>0</v>
      </c>
      <c r="K134" s="10">
        <v>0</v>
      </c>
      <c r="L134" s="10">
        <v>2103</v>
      </c>
      <c r="M134" s="10">
        <v>4634</v>
      </c>
      <c r="N134" s="10">
        <v>0</v>
      </c>
      <c r="O134" s="10">
        <v>2104</v>
      </c>
      <c r="P134" s="10">
        <v>7218</v>
      </c>
      <c r="Q134" s="10">
        <v>2121</v>
      </c>
      <c r="R134" s="10">
        <v>8850</v>
      </c>
      <c r="S134" s="10">
        <v>66538</v>
      </c>
      <c r="T134" s="10">
        <v>27718</v>
      </c>
      <c r="U134" s="10">
        <v>18.516227180527384</v>
      </c>
      <c r="V134" s="10">
        <v>21.762599640010283</v>
      </c>
      <c r="W134" s="10">
        <v>32.53846153846154</v>
      </c>
      <c r="X134" s="10">
        <v>17.326025932361983</v>
      </c>
      <c r="Y134" s="10">
        <v>34.012906556530716</v>
      </c>
      <c r="Z134" s="10">
        <v>17.237540674773076</v>
      </c>
      <c r="AA134" s="10">
        <v>17.257649513212797</v>
      </c>
      <c r="AB134" s="10">
        <v>32.647040878584505</v>
      </c>
      <c r="AC134" s="10">
        <v>0</v>
      </c>
      <c r="AD134" s="10">
        <v>0</v>
      </c>
      <c r="AE134" s="10">
        <v>0</v>
      </c>
      <c r="AF134" s="10">
        <v>43.389080707811829</v>
      </c>
      <c r="AG134" s="10">
        <v>0</v>
      </c>
      <c r="AH134" s="10">
        <v>27.268536121673002</v>
      </c>
      <c r="AI134" s="10">
        <v>43.496813521751179</v>
      </c>
      <c r="AJ134" s="10">
        <v>0</v>
      </c>
      <c r="AK134" s="10">
        <v>27.955209806694956</v>
      </c>
      <c r="AL134" s="10">
        <v>22.984632768361582</v>
      </c>
      <c r="AM134" s="10">
        <v>0</v>
      </c>
      <c r="AN134" s="10">
        <v>2</v>
      </c>
      <c r="AO134" s="10">
        <v>1</v>
      </c>
      <c r="AP134" s="10">
        <v>9</v>
      </c>
      <c r="AQ134" s="10">
        <v>6</v>
      </c>
      <c r="AR134" s="10">
        <v>3</v>
      </c>
      <c r="AS134" s="10">
        <v>1</v>
      </c>
      <c r="AT134" s="10">
        <v>2</v>
      </c>
      <c r="AU134" s="10">
        <v>1</v>
      </c>
      <c r="AV134" s="10">
        <v>0</v>
      </c>
      <c r="AW134" s="10">
        <v>1</v>
      </c>
      <c r="AX134" s="10">
        <v>3</v>
      </c>
      <c r="AY134" s="10">
        <v>0</v>
      </c>
      <c r="AZ134" s="10">
        <v>1</v>
      </c>
      <c r="BA134" s="10">
        <v>1</v>
      </c>
      <c r="BB134" s="10">
        <v>4</v>
      </c>
      <c r="BC134" s="10">
        <v>35</v>
      </c>
      <c r="BD134" s="10">
        <v>1</v>
      </c>
      <c r="BE134" s="10">
        <v>0</v>
      </c>
      <c r="BF134" s="10">
        <v>7</v>
      </c>
      <c r="BG134" s="10">
        <v>7</v>
      </c>
      <c r="BH134" s="10">
        <v>0</v>
      </c>
      <c r="BI134" s="10">
        <v>0</v>
      </c>
      <c r="BJ134" s="10">
        <v>0</v>
      </c>
      <c r="BK134" s="10">
        <v>0</v>
      </c>
      <c r="BL134" s="10">
        <v>0</v>
      </c>
      <c r="BM134" s="10">
        <v>0</v>
      </c>
      <c r="BN134" s="10">
        <v>0</v>
      </c>
      <c r="BO134" s="10">
        <v>0</v>
      </c>
      <c r="BP134" s="10">
        <v>4</v>
      </c>
      <c r="BQ134" s="10">
        <v>0</v>
      </c>
      <c r="BR134" s="10">
        <v>1</v>
      </c>
      <c r="BS134" s="10">
        <v>20</v>
      </c>
    </row>
    <row r="135" spans="1:71" x14ac:dyDescent="0.55000000000000004">
      <c r="A135" s="10">
        <v>684</v>
      </c>
      <c r="B135" s="10">
        <v>2022</v>
      </c>
      <c r="C135" s="10">
        <v>3782</v>
      </c>
      <c r="D135" s="10">
        <v>31146</v>
      </c>
      <c r="E135" s="10">
        <v>14189</v>
      </c>
      <c r="F135" s="10">
        <v>3813</v>
      </c>
      <c r="G135" s="10">
        <v>3033</v>
      </c>
      <c r="H135" s="10">
        <v>1158</v>
      </c>
      <c r="I135" s="10">
        <v>7970</v>
      </c>
      <c r="J135" s="10">
        <v>375</v>
      </c>
      <c r="K135" s="10">
        <v>0</v>
      </c>
      <c r="L135" s="10">
        <v>2624</v>
      </c>
      <c r="M135" s="10">
        <v>5867</v>
      </c>
      <c r="N135" s="10">
        <v>274</v>
      </c>
      <c r="O135" s="10">
        <v>4281</v>
      </c>
      <c r="P135" s="10">
        <v>10278</v>
      </c>
      <c r="Q135" s="10">
        <v>1647</v>
      </c>
      <c r="R135" s="10">
        <v>911</v>
      </c>
      <c r="S135" s="10">
        <v>64874</v>
      </c>
      <c r="T135" s="10">
        <v>26474</v>
      </c>
      <c r="U135" s="10">
        <v>17.604970914859862</v>
      </c>
      <c r="V135" s="10">
        <v>15.805047197071854</v>
      </c>
      <c r="W135" s="10">
        <v>0</v>
      </c>
      <c r="X135" s="10">
        <v>14.721474381563182</v>
      </c>
      <c r="Y135" s="10">
        <v>37.720954628901126</v>
      </c>
      <c r="Z135" s="10">
        <v>12.507748104187273</v>
      </c>
      <c r="AA135" s="10">
        <v>13.362694300518134</v>
      </c>
      <c r="AB135" s="10">
        <v>24.258594730238393</v>
      </c>
      <c r="AC135" s="10">
        <v>0</v>
      </c>
      <c r="AD135" s="10">
        <v>0</v>
      </c>
      <c r="AE135" s="10">
        <v>19.799161585365852</v>
      </c>
      <c r="AF135" s="10">
        <v>35.226009885801943</v>
      </c>
      <c r="AG135" s="10">
        <v>17.189781021897808</v>
      </c>
      <c r="AH135" s="10">
        <v>21.314412520439149</v>
      </c>
      <c r="AI135" s="10">
        <v>31.400758902510219</v>
      </c>
      <c r="AJ135" s="10">
        <v>0</v>
      </c>
      <c r="AK135" s="10">
        <v>24.607771706132358</v>
      </c>
      <c r="AL135" s="10">
        <v>16.151481888035129</v>
      </c>
      <c r="AM135" s="10">
        <v>0</v>
      </c>
      <c r="AN135" s="10">
        <v>2</v>
      </c>
      <c r="AO135" s="10">
        <v>2</v>
      </c>
      <c r="AP135" s="10">
        <v>10</v>
      </c>
      <c r="AQ135" s="10">
        <v>5</v>
      </c>
      <c r="AR135" s="10">
        <v>0</v>
      </c>
      <c r="AS135" s="10">
        <v>0</v>
      </c>
      <c r="AT135" s="10">
        <v>3</v>
      </c>
      <c r="AU135" s="10">
        <v>2</v>
      </c>
      <c r="AV135" s="10">
        <v>0</v>
      </c>
      <c r="AW135" s="10">
        <v>2</v>
      </c>
      <c r="AX135" s="10">
        <v>3</v>
      </c>
      <c r="AY135" s="10">
        <v>0</v>
      </c>
      <c r="AZ135" s="10">
        <v>3</v>
      </c>
      <c r="BA135" s="10">
        <v>1</v>
      </c>
      <c r="BB135" s="10">
        <v>1</v>
      </c>
      <c r="BC135" s="10">
        <v>34</v>
      </c>
      <c r="BD135" s="10">
        <v>0</v>
      </c>
      <c r="BE135" s="10">
        <v>0</v>
      </c>
      <c r="BF135" s="10">
        <v>6</v>
      </c>
      <c r="BG135" s="10">
        <v>4</v>
      </c>
      <c r="BH135" s="10">
        <v>3</v>
      </c>
      <c r="BI135" s="10">
        <v>1</v>
      </c>
      <c r="BJ135" s="10">
        <v>0</v>
      </c>
      <c r="BK135" s="10">
        <v>0</v>
      </c>
      <c r="BL135" s="10">
        <v>0</v>
      </c>
      <c r="BM135" s="10">
        <v>1</v>
      </c>
      <c r="BN135" s="10">
        <v>0</v>
      </c>
      <c r="BO135" s="10">
        <v>1</v>
      </c>
      <c r="BP135" s="10">
        <v>2</v>
      </c>
      <c r="BQ135" s="10">
        <v>0</v>
      </c>
      <c r="BR135" s="10">
        <v>0</v>
      </c>
      <c r="BS135" s="10">
        <v>18</v>
      </c>
    </row>
    <row r="136" spans="1:71" x14ac:dyDescent="0.55000000000000004">
      <c r="A136" s="10">
        <v>707</v>
      </c>
      <c r="B136" s="10">
        <v>2022</v>
      </c>
      <c r="C136" s="10">
        <v>2213</v>
      </c>
      <c r="D136" s="10">
        <v>31204</v>
      </c>
      <c r="E136" s="10">
        <v>7360</v>
      </c>
      <c r="F136" s="10">
        <v>3237</v>
      </c>
      <c r="G136" s="10">
        <v>4547</v>
      </c>
      <c r="H136" s="10">
        <v>558</v>
      </c>
      <c r="I136" s="10">
        <v>5705</v>
      </c>
      <c r="J136" s="10">
        <v>0</v>
      </c>
      <c r="K136" s="10">
        <v>0</v>
      </c>
      <c r="L136" s="10">
        <v>2122</v>
      </c>
      <c r="M136" s="10">
        <v>4053</v>
      </c>
      <c r="N136" s="10">
        <v>0</v>
      </c>
      <c r="O136" s="10">
        <v>4334</v>
      </c>
      <c r="P136" s="10">
        <v>8466</v>
      </c>
      <c r="Q136" s="10">
        <v>0</v>
      </c>
      <c r="R136" s="10">
        <v>182</v>
      </c>
      <c r="S136" s="10">
        <v>53945</v>
      </c>
      <c r="T136" s="10">
        <v>20036</v>
      </c>
      <c r="U136" s="10">
        <v>18.319023949389969</v>
      </c>
      <c r="V136" s="10">
        <v>21.79736572234329</v>
      </c>
      <c r="W136" s="10">
        <v>34.583697234352258</v>
      </c>
      <c r="X136" s="10">
        <v>16.611548913043478</v>
      </c>
      <c r="Y136" s="10">
        <v>40.944392956441149</v>
      </c>
      <c r="Z136" s="10">
        <v>14.220585001099625</v>
      </c>
      <c r="AA136" s="10">
        <v>12.109318996415771</v>
      </c>
      <c r="AB136" s="10">
        <v>35.982471516213849</v>
      </c>
      <c r="AC136" s="10">
        <v>50.748792270531396</v>
      </c>
      <c r="AD136" s="10">
        <v>0</v>
      </c>
      <c r="AE136" s="10">
        <v>20.567389255419414</v>
      </c>
      <c r="AF136" s="10">
        <v>38.178879842092272</v>
      </c>
      <c r="AG136" s="10">
        <v>0</v>
      </c>
      <c r="AH136" s="10">
        <v>21.083987078910937</v>
      </c>
      <c r="AI136" s="10">
        <v>36.453697141507206</v>
      </c>
      <c r="AJ136" s="10">
        <v>0</v>
      </c>
      <c r="AK136" s="10">
        <v>0</v>
      </c>
      <c r="AL136" s="10">
        <v>18.505494505494507</v>
      </c>
      <c r="AM136" s="10">
        <v>0</v>
      </c>
      <c r="AN136" s="10">
        <v>0</v>
      </c>
      <c r="AO136" s="10">
        <v>1</v>
      </c>
      <c r="AP136" s="10">
        <v>10</v>
      </c>
      <c r="AQ136" s="10">
        <v>2</v>
      </c>
      <c r="AR136" s="10">
        <v>1</v>
      </c>
      <c r="AS136" s="10">
        <v>0</v>
      </c>
      <c r="AT136" s="10">
        <v>1</v>
      </c>
      <c r="AU136" s="10">
        <v>1</v>
      </c>
      <c r="AV136" s="10">
        <v>0</v>
      </c>
      <c r="AW136" s="10">
        <v>0</v>
      </c>
      <c r="AX136" s="10">
        <v>2</v>
      </c>
      <c r="AY136" s="10">
        <v>0</v>
      </c>
      <c r="AZ136" s="10">
        <v>3</v>
      </c>
      <c r="BA136" s="10">
        <v>0</v>
      </c>
      <c r="BB136" s="10">
        <v>0</v>
      </c>
      <c r="BC136" s="10">
        <v>21</v>
      </c>
      <c r="BD136" s="10">
        <v>0</v>
      </c>
      <c r="BE136" s="10">
        <v>1</v>
      </c>
      <c r="BF136" s="10">
        <v>11</v>
      </c>
      <c r="BG136" s="10">
        <v>8</v>
      </c>
      <c r="BH136" s="10">
        <v>2</v>
      </c>
      <c r="BI136" s="10">
        <v>1</v>
      </c>
      <c r="BJ136" s="10">
        <v>2</v>
      </c>
      <c r="BK136" s="10">
        <v>1</v>
      </c>
      <c r="BL136" s="10">
        <v>0</v>
      </c>
      <c r="BM136" s="10">
        <v>0</v>
      </c>
      <c r="BN136" s="10">
        <v>0</v>
      </c>
      <c r="BO136" s="10">
        <v>0</v>
      </c>
      <c r="BP136" s="10">
        <v>2</v>
      </c>
      <c r="BQ136" s="10">
        <v>0</v>
      </c>
      <c r="BR136" s="10">
        <v>0</v>
      </c>
      <c r="BS136" s="10">
        <v>28</v>
      </c>
    </row>
    <row r="137" spans="1:71" x14ac:dyDescent="0.55000000000000004">
      <c r="A137" s="10">
        <v>156</v>
      </c>
      <c r="B137" s="10">
        <v>2022</v>
      </c>
      <c r="C137" s="10">
        <v>2425</v>
      </c>
      <c r="D137" s="10">
        <v>31259</v>
      </c>
      <c r="E137" s="10">
        <v>8235</v>
      </c>
      <c r="F137" s="10">
        <v>2036</v>
      </c>
      <c r="G137" s="10">
        <v>2366</v>
      </c>
      <c r="H137" s="10">
        <v>256</v>
      </c>
      <c r="I137" s="10">
        <v>11851</v>
      </c>
      <c r="J137" s="10">
        <v>0</v>
      </c>
      <c r="K137" s="10">
        <v>0</v>
      </c>
      <c r="L137" s="10">
        <v>2244</v>
      </c>
      <c r="M137" s="10">
        <v>4052</v>
      </c>
      <c r="N137" s="10">
        <v>0</v>
      </c>
      <c r="O137" s="10">
        <v>2271</v>
      </c>
      <c r="P137" s="10">
        <v>6167</v>
      </c>
      <c r="Q137" s="10">
        <v>1441</v>
      </c>
      <c r="R137" s="10">
        <v>4070</v>
      </c>
      <c r="S137" s="10">
        <v>63509</v>
      </c>
      <c r="T137" s="10">
        <v>15164</v>
      </c>
      <c r="U137" s="10">
        <v>21.131134020618557</v>
      </c>
      <c r="V137" s="10">
        <v>27.699638504110816</v>
      </c>
      <c r="W137" s="10">
        <v>34.117533718689785</v>
      </c>
      <c r="X137" s="10">
        <v>0</v>
      </c>
      <c r="Y137" s="10">
        <v>0</v>
      </c>
      <c r="Z137" s="10">
        <v>0</v>
      </c>
      <c r="AA137" s="10">
        <v>0</v>
      </c>
      <c r="AB137" s="10">
        <v>33.553792928866763</v>
      </c>
      <c r="AC137" s="10">
        <v>0</v>
      </c>
      <c r="AD137" s="10">
        <v>0</v>
      </c>
      <c r="AE137" s="10">
        <v>29.734402852049911</v>
      </c>
      <c r="AF137" s="10">
        <v>54.094027640671271</v>
      </c>
      <c r="AG137" s="10">
        <v>0</v>
      </c>
      <c r="AH137" s="10">
        <v>0</v>
      </c>
      <c r="AI137" s="10">
        <v>43.373925733744116</v>
      </c>
      <c r="AJ137" s="10">
        <v>0</v>
      </c>
      <c r="AK137" s="10">
        <v>23.113115891741849</v>
      </c>
      <c r="AL137" s="10">
        <v>26.448894348894349</v>
      </c>
      <c r="AM137" s="10">
        <v>0</v>
      </c>
      <c r="AN137" s="10">
        <v>1</v>
      </c>
      <c r="AO137" s="10">
        <v>0</v>
      </c>
      <c r="AP137" s="10">
        <v>12</v>
      </c>
      <c r="AQ137" s="10">
        <v>0</v>
      </c>
      <c r="AR137" s="10">
        <v>0</v>
      </c>
      <c r="AS137" s="10">
        <v>0</v>
      </c>
      <c r="AT137" s="10">
        <v>5</v>
      </c>
      <c r="AU137" s="10">
        <v>0</v>
      </c>
      <c r="AV137" s="10">
        <v>0</v>
      </c>
      <c r="AW137" s="10">
        <v>1</v>
      </c>
      <c r="AX137" s="10">
        <v>4</v>
      </c>
      <c r="AY137" s="10">
        <v>0</v>
      </c>
      <c r="AZ137" s="10">
        <v>2</v>
      </c>
      <c r="BA137" s="10">
        <v>1</v>
      </c>
      <c r="BB137" s="10">
        <v>4</v>
      </c>
      <c r="BC137" s="10">
        <v>30</v>
      </c>
      <c r="BD137" s="10">
        <v>1</v>
      </c>
      <c r="BE137" s="10">
        <v>0</v>
      </c>
      <c r="BF137" s="10">
        <v>3</v>
      </c>
      <c r="BG137" s="10">
        <v>0</v>
      </c>
      <c r="BH137" s="10">
        <v>0</v>
      </c>
      <c r="BI137" s="10">
        <v>0</v>
      </c>
      <c r="BJ137" s="10">
        <v>0</v>
      </c>
      <c r="BK137" s="10">
        <v>0</v>
      </c>
      <c r="BL137" s="10">
        <v>0</v>
      </c>
      <c r="BM137" s="10">
        <v>0</v>
      </c>
      <c r="BN137" s="10">
        <v>0</v>
      </c>
      <c r="BO137" s="10">
        <v>0</v>
      </c>
      <c r="BP137" s="10">
        <v>0</v>
      </c>
      <c r="BQ137" s="10">
        <v>0</v>
      </c>
      <c r="BR137" s="10">
        <v>0</v>
      </c>
      <c r="BS137" s="10">
        <v>4</v>
      </c>
    </row>
    <row r="138" spans="1:71" x14ac:dyDescent="0.55000000000000004">
      <c r="A138" s="10">
        <v>249</v>
      </c>
      <c r="B138" s="10">
        <v>2022</v>
      </c>
      <c r="C138" s="10">
        <v>2850</v>
      </c>
      <c r="D138" s="10">
        <v>31486</v>
      </c>
      <c r="E138" s="10">
        <v>13420</v>
      </c>
      <c r="F138" s="10">
        <v>6614</v>
      </c>
      <c r="G138" s="10">
        <v>0</v>
      </c>
      <c r="H138" s="10">
        <v>0</v>
      </c>
      <c r="I138" s="10">
        <v>16800</v>
      </c>
      <c r="J138" s="10">
        <v>343</v>
      </c>
      <c r="K138" s="10">
        <v>6</v>
      </c>
      <c r="L138" s="10">
        <v>1877</v>
      </c>
      <c r="M138" s="10">
        <v>5021</v>
      </c>
      <c r="N138" s="10">
        <v>0</v>
      </c>
      <c r="O138" s="10">
        <v>2547</v>
      </c>
      <c r="P138" s="10">
        <v>7600</v>
      </c>
      <c r="Q138" s="10">
        <v>1118</v>
      </c>
      <c r="R138" s="10">
        <v>5200</v>
      </c>
      <c r="S138" s="10">
        <v>72301</v>
      </c>
      <c r="T138" s="10">
        <v>22581</v>
      </c>
      <c r="U138" s="10">
        <v>24.451228070175439</v>
      </c>
      <c r="V138" s="10">
        <v>22.152893349425142</v>
      </c>
      <c r="W138" s="10">
        <v>34.10526315789474</v>
      </c>
      <c r="X138" s="10">
        <v>19.631818181818183</v>
      </c>
      <c r="Y138" s="10">
        <v>29.369368007257332</v>
      </c>
      <c r="Z138" s="10">
        <v>0</v>
      </c>
      <c r="AA138" s="10">
        <v>0</v>
      </c>
      <c r="AB138" s="10">
        <v>36.580892857142857</v>
      </c>
      <c r="AC138" s="10">
        <v>50.672043010752688</v>
      </c>
      <c r="AD138" s="10">
        <v>25</v>
      </c>
      <c r="AE138" s="10">
        <v>28.00745871070858</v>
      </c>
      <c r="AF138" s="10">
        <v>38.785899223262298</v>
      </c>
      <c r="AG138" s="10">
        <v>0</v>
      </c>
      <c r="AH138" s="10">
        <v>23.756183745583037</v>
      </c>
      <c r="AI138" s="10">
        <v>41.559605263157891</v>
      </c>
      <c r="AJ138" s="10">
        <v>62.404958677685954</v>
      </c>
      <c r="AK138" s="10">
        <v>26.084973166368517</v>
      </c>
      <c r="AL138" s="10">
        <v>23.01980769230769</v>
      </c>
      <c r="AM138" s="10">
        <v>36.770833333333329</v>
      </c>
      <c r="AN138" s="10">
        <v>1</v>
      </c>
      <c r="AO138" s="10">
        <v>3</v>
      </c>
      <c r="AP138" s="10">
        <v>7</v>
      </c>
      <c r="AQ138" s="10">
        <v>4</v>
      </c>
      <c r="AR138" s="10">
        <v>0</v>
      </c>
      <c r="AS138" s="10">
        <v>0</v>
      </c>
      <c r="AT138" s="10">
        <v>5</v>
      </c>
      <c r="AU138" s="10">
        <v>1</v>
      </c>
      <c r="AV138" s="10">
        <v>1</v>
      </c>
      <c r="AW138" s="10">
        <v>1</v>
      </c>
      <c r="AX138" s="10">
        <v>0</v>
      </c>
      <c r="AY138" s="10">
        <v>2</v>
      </c>
      <c r="AZ138" s="10">
        <v>1</v>
      </c>
      <c r="BA138" s="10">
        <v>0</v>
      </c>
      <c r="BB138" s="10">
        <v>0</v>
      </c>
      <c r="BC138" s="10">
        <v>26</v>
      </c>
      <c r="BD138" s="10">
        <v>0</v>
      </c>
      <c r="BE138" s="10">
        <v>0</v>
      </c>
      <c r="BF138" s="10">
        <v>2</v>
      </c>
      <c r="BG138" s="10">
        <v>4</v>
      </c>
      <c r="BH138" s="10">
        <v>0</v>
      </c>
      <c r="BI138" s="10">
        <v>0</v>
      </c>
      <c r="BJ138" s="10">
        <v>2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2</v>
      </c>
      <c r="BQ138" s="10">
        <v>0</v>
      </c>
      <c r="BR138" s="10">
        <v>1</v>
      </c>
      <c r="BS138" s="10">
        <v>11</v>
      </c>
    </row>
    <row r="139" spans="1:71" x14ac:dyDescent="0.55000000000000004">
      <c r="A139" s="10">
        <v>543</v>
      </c>
      <c r="B139" s="10">
        <v>2022</v>
      </c>
      <c r="C139" s="10">
        <v>5265</v>
      </c>
      <c r="D139" s="10">
        <v>31683</v>
      </c>
      <c r="E139" s="10">
        <v>12008</v>
      </c>
      <c r="F139" s="10">
        <v>4174</v>
      </c>
      <c r="G139" s="10">
        <v>2555</v>
      </c>
      <c r="H139" s="10">
        <v>2151</v>
      </c>
      <c r="I139" s="10">
        <v>7869</v>
      </c>
      <c r="J139" s="10">
        <v>0</v>
      </c>
      <c r="K139" s="10">
        <v>0</v>
      </c>
      <c r="L139" s="10">
        <v>0</v>
      </c>
      <c r="M139" s="10">
        <v>4315</v>
      </c>
      <c r="N139" s="10">
        <v>0</v>
      </c>
      <c r="O139" s="10">
        <v>1843</v>
      </c>
      <c r="P139" s="10">
        <v>6505</v>
      </c>
      <c r="Q139" s="10">
        <v>1867</v>
      </c>
      <c r="R139" s="10">
        <v>4350</v>
      </c>
      <c r="S139" s="10">
        <v>61854</v>
      </c>
      <c r="T139" s="10">
        <v>22731</v>
      </c>
      <c r="U139" s="10">
        <v>17.782526115859451</v>
      </c>
      <c r="V139" s="10">
        <v>24.981851466085914</v>
      </c>
      <c r="W139" s="10">
        <v>32.477973568281939</v>
      </c>
      <c r="X139" s="10">
        <v>19.917888074616922</v>
      </c>
      <c r="Y139" s="10">
        <v>30.896502156205077</v>
      </c>
      <c r="Z139" s="10">
        <v>16.408610567514678</v>
      </c>
      <c r="AA139" s="10">
        <v>14.601115760111576</v>
      </c>
      <c r="AB139" s="10">
        <v>36.688778752065069</v>
      </c>
      <c r="AC139" s="10">
        <v>50.36363636363636</v>
      </c>
      <c r="AD139" s="10">
        <v>0</v>
      </c>
      <c r="AE139" s="10">
        <v>0</v>
      </c>
      <c r="AF139" s="10">
        <v>38.702896871378911</v>
      </c>
      <c r="AG139" s="10">
        <v>0</v>
      </c>
      <c r="AH139" s="10">
        <v>23.608247422680414</v>
      </c>
      <c r="AI139" s="10">
        <v>37.884550345887781</v>
      </c>
      <c r="AJ139" s="10">
        <v>62.375</v>
      </c>
      <c r="AK139" s="10">
        <v>24.161221210498123</v>
      </c>
      <c r="AL139" s="10">
        <v>23.086206896551722</v>
      </c>
      <c r="AM139" s="10">
        <v>0</v>
      </c>
      <c r="AN139" s="10">
        <v>3</v>
      </c>
      <c r="AO139" s="10">
        <v>2</v>
      </c>
      <c r="AP139" s="10">
        <v>11</v>
      </c>
      <c r="AQ139" s="10">
        <v>2</v>
      </c>
      <c r="AR139" s="10">
        <v>1</v>
      </c>
      <c r="AS139" s="10">
        <v>1</v>
      </c>
      <c r="AT139" s="10">
        <v>3</v>
      </c>
      <c r="AU139" s="10">
        <v>1</v>
      </c>
      <c r="AV139" s="10">
        <v>0</v>
      </c>
      <c r="AW139" s="10">
        <v>0</v>
      </c>
      <c r="AX139" s="10">
        <v>2</v>
      </c>
      <c r="AY139" s="10">
        <v>0</v>
      </c>
      <c r="AZ139" s="10">
        <v>2</v>
      </c>
      <c r="BA139" s="10">
        <v>1</v>
      </c>
      <c r="BB139" s="10">
        <v>0</v>
      </c>
      <c r="BC139" s="10">
        <v>29</v>
      </c>
      <c r="BD139" s="10">
        <v>0</v>
      </c>
      <c r="BE139" s="10">
        <v>0</v>
      </c>
      <c r="BF139" s="10">
        <v>13</v>
      </c>
      <c r="BG139" s="10">
        <v>8</v>
      </c>
      <c r="BH139" s="10">
        <v>0</v>
      </c>
      <c r="BI139" s="10">
        <v>0</v>
      </c>
      <c r="BJ139" s="10">
        <v>1</v>
      </c>
      <c r="BK139" s="10">
        <v>0</v>
      </c>
      <c r="BL139" s="10">
        <v>0</v>
      </c>
      <c r="BM139" s="10">
        <v>0</v>
      </c>
      <c r="BN139" s="10">
        <v>0</v>
      </c>
      <c r="BO139" s="10">
        <v>0</v>
      </c>
      <c r="BP139" s="10">
        <v>4</v>
      </c>
      <c r="BQ139" s="10">
        <v>0</v>
      </c>
      <c r="BR139" s="10">
        <v>0</v>
      </c>
      <c r="BS139" s="10">
        <v>26</v>
      </c>
    </row>
    <row r="140" spans="1:71" x14ac:dyDescent="0.55000000000000004">
      <c r="A140" s="10">
        <v>615</v>
      </c>
      <c r="B140" s="10">
        <v>2022</v>
      </c>
      <c r="C140" s="10">
        <v>4347</v>
      </c>
      <c r="D140" s="10">
        <v>31782</v>
      </c>
      <c r="E140" s="10">
        <v>16536</v>
      </c>
      <c r="F140" s="10">
        <v>12778</v>
      </c>
      <c r="G140" s="10">
        <v>7675</v>
      </c>
      <c r="H140" s="10">
        <v>4555</v>
      </c>
      <c r="I140" s="10">
        <v>13790</v>
      </c>
      <c r="J140" s="10">
        <v>0</v>
      </c>
      <c r="K140" s="10">
        <v>0</v>
      </c>
      <c r="L140" s="10">
        <v>6323</v>
      </c>
      <c r="M140" s="10">
        <v>5117</v>
      </c>
      <c r="N140" s="10">
        <v>811</v>
      </c>
      <c r="O140" s="10">
        <v>5054</v>
      </c>
      <c r="P140" s="10">
        <v>6968</v>
      </c>
      <c r="Q140" s="10">
        <v>1768</v>
      </c>
      <c r="R140" s="10">
        <v>1747</v>
      </c>
      <c r="S140" s="10">
        <v>72653</v>
      </c>
      <c r="T140" s="10">
        <v>46598</v>
      </c>
      <c r="U140" s="10">
        <v>16.327812284334023</v>
      </c>
      <c r="V140" s="10">
        <v>21.613649235416272</v>
      </c>
      <c r="W140" s="10">
        <v>35.013100436681221</v>
      </c>
      <c r="X140" s="10">
        <v>17.26856555394291</v>
      </c>
      <c r="Y140" s="10">
        <v>32.324150884332447</v>
      </c>
      <c r="Z140" s="10">
        <v>17.451335504885993</v>
      </c>
      <c r="AA140" s="10">
        <v>16.262568605927552</v>
      </c>
      <c r="AB140" s="10">
        <v>28.885859318346629</v>
      </c>
      <c r="AC140" s="10">
        <v>41.337349397590359</v>
      </c>
      <c r="AD140" s="10">
        <v>0</v>
      </c>
      <c r="AE140" s="10">
        <v>20.826822710738572</v>
      </c>
      <c r="AF140" s="10">
        <v>41.134258354504588</v>
      </c>
      <c r="AG140" s="10">
        <v>29.065351418002464</v>
      </c>
      <c r="AH140" s="10">
        <v>26.726751088246932</v>
      </c>
      <c r="AI140" s="10">
        <v>37.22962112514351</v>
      </c>
      <c r="AJ140" s="10">
        <v>63.260273972602732</v>
      </c>
      <c r="AK140" s="10">
        <v>17.682126696832579</v>
      </c>
      <c r="AL140" s="10">
        <v>22.151688609044076</v>
      </c>
      <c r="AM140" s="10">
        <v>0</v>
      </c>
      <c r="AN140" s="10">
        <v>2</v>
      </c>
      <c r="AO140" s="10">
        <v>2</v>
      </c>
      <c r="AP140" s="10">
        <v>5</v>
      </c>
      <c r="AQ140" s="10">
        <v>6</v>
      </c>
      <c r="AR140" s="10">
        <v>4</v>
      </c>
      <c r="AS140" s="10">
        <v>4</v>
      </c>
      <c r="AT140" s="10">
        <v>3</v>
      </c>
      <c r="AU140" s="10">
        <v>4</v>
      </c>
      <c r="AV140" s="10">
        <v>0</v>
      </c>
      <c r="AW140" s="10">
        <v>1</v>
      </c>
      <c r="AX140" s="10">
        <v>2</v>
      </c>
      <c r="AY140" s="10">
        <v>1</v>
      </c>
      <c r="AZ140" s="10">
        <v>3</v>
      </c>
      <c r="BA140" s="10">
        <v>1</v>
      </c>
      <c r="BB140" s="10">
        <v>1</v>
      </c>
      <c r="BC140" s="10">
        <v>39</v>
      </c>
      <c r="BD140" s="10">
        <v>2</v>
      </c>
      <c r="BE140" s="10">
        <v>0</v>
      </c>
      <c r="BF140" s="10">
        <v>8</v>
      </c>
      <c r="BG140" s="10">
        <v>6</v>
      </c>
      <c r="BH140" s="10">
        <v>0</v>
      </c>
      <c r="BI140" s="10">
        <v>4</v>
      </c>
      <c r="BJ140" s="10">
        <v>3</v>
      </c>
      <c r="BK140" s="10">
        <v>0</v>
      </c>
      <c r="BL140" s="10">
        <v>0</v>
      </c>
      <c r="BM140" s="10">
        <v>0</v>
      </c>
      <c r="BN140" s="10">
        <v>0</v>
      </c>
      <c r="BO140" s="10">
        <v>0</v>
      </c>
      <c r="BP140" s="10">
        <v>0</v>
      </c>
      <c r="BQ140" s="10">
        <v>0</v>
      </c>
      <c r="BR140" s="10">
        <v>0</v>
      </c>
      <c r="BS140" s="10">
        <v>23</v>
      </c>
    </row>
    <row r="141" spans="1:71" x14ac:dyDescent="0.55000000000000004">
      <c r="A141" s="10">
        <v>268</v>
      </c>
      <c r="B141" s="10">
        <v>2022</v>
      </c>
      <c r="C141" s="10">
        <v>5405</v>
      </c>
      <c r="D141" s="10">
        <v>31861</v>
      </c>
      <c r="E141" s="10">
        <v>23860</v>
      </c>
      <c r="F141" s="10">
        <v>10321</v>
      </c>
      <c r="G141" s="10">
        <v>8779</v>
      </c>
      <c r="H141" s="10">
        <v>2397</v>
      </c>
      <c r="I141" s="10">
        <v>27810</v>
      </c>
      <c r="J141" s="10">
        <v>266</v>
      </c>
      <c r="K141" s="10">
        <v>0</v>
      </c>
      <c r="L141" s="10">
        <v>0</v>
      </c>
      <c r="M141" s="10">
        <v>4719</v>
      </c>
      <c r="N141" s="10">
        <v>0</v>
      </c>
      <c r="O141" s="10">
        <v>1432</v>
      </c>
      <c r="P141" s="10">
        <v>16458</v>
      </c>
      <c r="Q141" s="10">
        <v>1548</v>
      </c>
      <c r="R141" s="10">
        <v>0</v>
      </c>
      <c r="S141" s="10">
        <v>88067</v>
      </c>
      <c r="T141" s="10">
        <v>46789</v>
      </c>
      <c r="U141" s="10">
        <v>13.288251618871413</v>
      </c>
      <c r="V141" s="10">
        <v>26.789429082577445</v>
      </c>
      <c r="W141" s="10">
        <v>38.779655508612286</v>
      </c>
      <c r="X141" s="10">
        <v>22.302137468566638</v>
      </c>
      <c r="Y141" s="10">
        <v>32.290669508768531</v>
      </c>
      <c r="Z141" s="10">
        <v>18.750313247522495</v>
      </c>
      <c r="AA141" s="10">
        <v>19.399666249478514</v>
      </c>
      <c r="AB141" s="10">
        <v>32.379072276159654</v>
      </c>
      <c r="AC141" s="10">
        <v>0</v>
      </c>
      <c r="AD141" s="10">
        <v>0</v>
      </c>
      <c r="AE141" s="10">
        <v>0</v>
      </c>
      <c r="AF141" s="10">
        <v>51.672600127145586</v>
      </c>
      <c r="AG141" s="10">
        <v>0</v>
      </c>
      <c r="AH141" s="10">
        <v>29.565642458100559</v>
      </c>
      <c r="AI141" s="10">
        <v>40.11186049337708</v>
      </c>
      <c r="AJ141" s="10">
        <v>0</v>
      </c>
      <c r="AK141" s="10">
        <v>71.795865633074925</v>
      </c>
      <c r="AL141" s="10">
        <v>0</v>
      </c>
      <c r="AM141" s="10">
        <v>0</v>
      </c>
      <c r="AN141" s="10">
        <v>3</v>
      </c>
      <c r="AO141" s="10">
        <v>4</v>
      </c>
      <c r="AP141" s="10">
        <v>5</v>
      </c>
      <c r="AQ141" s="10">
        <v>10</v>
      </c>
      <c r="AR141" s="10">
        <v>4</v>
      </c>
      <c r="AS141" s="10">
        <v>0</v>
      </c>
      <c r="AT141" s="10">
        <v>10</v>
      </c>
      <c r="AU141" s="10">
        <v>2</v>
      </c>
      <c r="AV141" s="10">
        <v>0</v>
      </c>
      <c r="AW141" s="10">
        <v>5</v>
      </c>
      <c r="AX141" s="10">
        <v>3</v>
      </c>
      <c r="AY141" s="10">
        <v>0</v>
      </c>
      <c r="AZ141" s="10">
        <v>5</v>
      </c>
      <c r="BA141" s="10">
        <v>1</v>
      </c>
      <c r="BB141" s="10">
        <v>0</v>
      </c>
      <c r="BC141" s="10">
        <v>52</v>
      </c>
      <c r="BD141" s="10">
        <v>0</v>
      </c>
      <c r="BE141" s="10">
        <v>0</v>
      </c>
      <c r="BF141" s="10">
        <v>16</v>
      </c>
      <c r="BG141" s="10">
        <v>15</v>
      </c>
      <c r="BH141" s="10">
        <v>2</v>
      </c>
      <c r="BI141" s="10">
        <v>2</v>
      </c>
      <c r="BJ141" s="10">
        <v>3</v>
      </c>
      <c r="BK141" s="10">
        <v>0</v>
      </c>
      <c r="BL141" s="10">
        <v>0</v>
      </c>
      <c r="BM141" s="10">
        <v>1</v>
      </c>
      <c r="BN141" s="10">
        <v>0</v>
      </c>
      <c r="BO141" s="10">
        <v>0</v>
      </c>
      <c r="BP141" s="10">
        <v>2</v>
      </c>
      <c r="BQ141" s="10">
        <v>1</v>
      </c>
      <c r="BR141" s="10">
        <v>0</v>
      </c>
      <c r="BS141" s="10">
        <v>42</v>
      </c>
    </row>
    <row r="142" spans="1:71" x14ac:dyDescent="0.55000000000000004">
      <c r="A142" s="10">
        <v>276</v>
      </c>
      <c r="B142" s="10">
        <v>2022</v>
      </c>
      <c r="C142" s="10">
        <v>3744</v>
      </c>
      <c r="D142" s="10">
        <v>31877</v>
      </c>
      <c r="E142" s="10">
        <v>18605</v>
      </c>
      <c r="F142" s="10">
        <v>5092</v>
      </c>
      <c r="G142" s="10">
        <v>0</v>
      </c>
      <c r="H142" s="10">
        <v>0</v>
      </c>
      <c r="I142" s="10">
        <v>15021</v>
      </c>
      <c r="J142" s="10">
        <v>456</v>
      </c>
      <c r="K142" s="10">
        <v>0</v>
      </c>
      <c r="L142" s="10">
        <v>5573</v>
      </c>
      <c r="M142" s="10">
        <v>5327</v>
      </c>
      <c r="N142" s="10">
        <v>0</v>
      </c>
      <c r="O142" s="10">
        <v>1599</v>
      </c>
      <c r="P142" s="10">
        <v>14327</v>
      </c>
      <c r="Q142" s="10">
        <v>12192</v>
      </c>
      <c r="R142" s="10">
        <v>670</v>
      </c>
      <c r="S142" s="10">
        <v>89187</v>
      </c>
      <c r="T142" s="10">
        <v>25296</v>
      </c>
      <c r="U142" s="10">
        <v>20.222489316239315</v>
      </c>
      <c r="V142" s="10">
        <v>21.196913134862129</v>
      </c>
      <c r="W142" s="10">
        <v>33.224007625791515</v>
      </c>
      <c r="X142" s="10">
        <v>18.249234076861057</v>
      </c>
      <c r="Y142" s="10">
        <v>43.976826394344073</v>
      </c>
      <c r="Z142" s="10">
        <v>0</v>
      </c>
      <c r="AA142" s="10">
        <v>0</v>
      </c>
      <c r="AB142" s="10">
        <v>35.80460688369616</v>
      </c>
      <c r="AC142" s="10">
        <v>49.581107619795752</v>
      </c>
      <c r="AD142" s="10">
        <v>0</v>
      </c>
      <c r="AE142" s="10">
        <v>23.793468508882111</v>
      </c>
      <c r="AF142" s="10">
        <v>47.003942181340342</v>
      </c>
      <c r="AG142" s="10">
        <v>0</v>
      </c>
      <c r="AH142" s="10">
        <v>24.594746716697937</v>
      </c>
      <c r="AI142" s="10">
        <v>44.814825155301179</v>
      </c>
      <c r="AJ142" s="10">
        <v>61.378758984890709</v>
      </c>
      <c r="AK142" s="10">
        <v>20.647555774278214</v>
      </c>
      <c r="AL142" s="10">
        <v>24.176119402985076</v>
      </c>
      <c r="AM142" s="10">
        <v>36.544736842105259</v>
      </c>
      <c r="AN142" s="10">
        <v>2</v>
      </c>
      <c r="AO142" s="10">
        <v>4</v>
      </c>
      <c r="AP142" s="10">
        <v>14</v>
      </c>
      <c r="AQ142" s="10">
        <v>8</v>
      </c>
      <c r="AR142" s="10">
        <v>0</v>
      </c>
      <c r="AS142" s="10">
        <v>0</v>
      </c>
      <c r="AT142" s="10">
        <v>13</v>
      </c>
      <c r="AU142" s="10">
        <v>1</v>
      </c>
      <c r="AV142" s="10">
        <v>0</v>
      </c>
      <c r="AW142" s="10">
        <v>3</v>
      </c>
      <c r="AX142" s="10">
        <v>2</v>
      </c>
      <c r="AY142" s="10">
        <v>0</v>
      </c>
      <c r="AZ142" s="10">
        <v>6</v>
      </c>
      <c r="BA142" s="10">
        <v>3</v>
      </c>
      <c r="BB142" s="10">
        <v>0</v>
      </c>
      <c r="BC142" s="10">
        <v>56</v>
      </c>
      <c r="BD142" s="10">
        <v>2</v>
      </c>
      <c r="BE142" s="10">
        <v>2</v>
      </c>
      <c r="BF142" s="10">
        <v>4</v>
      </c>
      <c r="BG142" s="10">
        <v>6</v>
      </c>
      <c r="BH142" s="10">
        <v>0</v>
      </c>
      <c r="BI142" s="10">
        <v>0</v>
      </c>
      <c r="BJ142" s="10">
        <v>3</v>
      </c>
      <c r="BK142" s="10">
        <v>0</v>
      </c>
      <c r="BL142" s="10">
        <v>0</v>
      </c>
      <c r="BM142" s="10">
        <v>0</v>
      </c>
      <c r="BN142" s="10">
        <v>0</v>
      </c>
      <c r="BO142" s="10">
        <v>0</v>
      </c>
      <c r="BP142" s="10">
        <v>0</v>
      </c>
      <c r="BQ142" s="10">
        <v>0</v>
      </c>
      <c r="BR142" s="10">
        <v>0</v>
      </c>
      <c r="BS142" s="10">
        <v>17</v>
      </c>
    </row>
    <row r="143" spans="1:71" x14ac:dyDescent="0.55000000000000004">
      <c r="A143" s="10">
        <v>900</v>
      </c>
      <c r="B143" s="10">
        <v>2022</v>
      </c>
      <c r="C143" s="10">
        <v>3885</v>
      </c>
      <c r="D143" s="10">
        <v>32043</v>
      </c>
      <c r="E143" s="10">
        <v>18302</v>
      </c>
      <c r="F143" s="10">
        <v>7572</v>
      </c>
      <c r="G143" s="10">
        <v>6001</v>
      </c>
      <c r="H143" s="10">
        <v>4188</v>
      </c>
      <c r="I143" s="10">
        <v>14529</v>
      </c>
      <c r="J143" s="10">
        <v>0</v>
      </c>
      <c r="K143" s="10">
        <v>0</v>
      </c>
      <c r="L143" s="10">
        <v>3044</v>
      </c>
      <c r="M143" s="10">
        <v>6790</v>
      </c>
      <c r="N143" s="10">
        <v>3865</v>
      </c>
      <c r="O143" s="10">
        <v>2333</v>
      </c>
      <c r="P143" s="10">
        <v>13629</v>
      </c>
      <c r="Q143" s="10">
        <v>3044</v>
      </c>
      <c r="R143" s="10">
        <v>6194</v>
      </c>
      <c r="S143" s="10">
        <v>87023</v>
      </c>
      <c r="T143" s="10">
        <v>38396</v>
      </c>
      <c r="U143" s="10">
        <v>21.585070785070783</v>
      </c>
      <c r="V143" s="10">
        <v>22.489841775114687</v>
      </c>
      <c r="W143" s="10">
        <v>26.009609949123799</v>
      </c>
      <c r="X143" s="10">
        <v>13.196699814227953</v>
      </c>
      <c r="Y143" s="10">
        <v>31.217776016904384</v>
      </c>
      <c r="Z143" s="10">
        <v>17.199300116647226</v>
      </c>
      <c r="AA143" s="10">
        <v>18.203915950334288</v>
      </c>
      <c r="AB143" s="10">
        <v>33.689379860967719</v>
      </c>
      <c r="AC143" s="10">
        <v>37.090225563909776</v>
      </c>
      <c r="AD143" s="10">
        <v>0</v>
      </c>
      <c r="AE143" s="10">
        <v>24.304204993429696</v>
      </c>
      <c r="AF143" s="10">
        <v>35.244771723122241</v>
      </c>
      <c r="AG143" s="10">
        <v>26.076584734799482</v>
      </c>
      <c r="AH143" s="10">
        <v>26.359622803257604</v>
      </c>
      <c r="AI143" s="10">
        <v>40.18629393205665</v>
      </c>
      <c r="AJ143" s="10">
        <v>62.307692307692307</v>
      </c>
      <c r="AK143" s="10">
        <v>33.584099868593952</v>
      </c>
      <c r="AL143" s="10">
        <v>23.563771391669356</v>
      </c>
      <c r="AM143" s="10">
        <v>0</v>
      </c>
      <c r="AN143" s="10">
        <v>2</v>
      </c>
      <c r="AO143" s="10">
        <v>4</v>
      </c>
      <c r="AP143" s="10">
        <v>14</v>
      </c>
      <c r="AQ143" s="10">
        <v>6</v>
      </c>
      <c r="AR143" s="10">
        <v>2</v>
      </c>
      <c r="AS143" s="10">
        <v>1</v>
      </c>
      <c r="AT143" s="10">
        <v>5</v>
      </c>
      <c r="AU143" s="10">
        <v>1</v>
      </c>
      <c r="AV143" s="10">
        <v>0</v>
      </c>
      <c r="AW143" s="10">
        <v>2</v>
      </c>
      <c r="AX143" s="10">
        <v>3</v>
      </c>
      <c r="AY143" s="10">
        <v>2</v>
      </c>
      <c r="AZ143" s="10">
        <v>3</v>
      </c>
      <c r="BA143" s="10">
        <v>2</v>
      </c>
      <c r="BB143" s="10">
        <v>1</v>
      </c>
      <c r="BC143" s="10">
        <v>48</v>
      </c>
      <c r="BD143" s="10">
        <v>6</v>
      </c>
      <c r="BE143" s="10">
        <v>0</v>
      </c>
      <c r="BF143" s="10">
        <v>4</v>
      </c>
      <c r="BG143" s="10">
        <v>15</v>
      </c>
      <c r="BH143" s="10">
        <v>0</v>
      </c>
      <c r="BI143" s="10">
        <v>3</v>
      </c>
      <c r="BJ143" s="10">
        <v>0</v>
      </c>
      <c r="BK143" s="10">
        <v>0</v>
      </c>
      <c r="BL143" s="10">
        <v>0</v>
      </c>
      <c r="BM143" s="10">
        <v>0</v>
      </c>
      <c r="BN143" s="10">
        <v>0</v>
      </c>
      <c r="BO143" s="10">
        <v>0</v>
      </c>
      <c r="BP143" s="10">
        <v>1</v>
      </c>
      <c r="BQ143" s="10">
        <v>0</v>
      </c>
      <c r="BR143" s="10">
        <v>2</v>
      </c>
      <c r="BS143" s="10">
        <v>31</v>
      </c>
    </row>
    <row r="144" spans="1:71" x14ac:dyDescent="0.55000000000000004">
      <c r="A144" s="10">
        <v>826</v>
      </c>
      <c r="B144" s="10">
        <v>2022</v>
      </c>
      <c r="C144" s="10">
        <v>5706</v>
      </c>
      <c r="D144" s="10">
        <v>32141</v>
      </c>
      <c r="E144" s="10">
        <v>15050</v>
      </c>
      <c r="F144" s="10">
        <v>6007</v>
      </c>
      <c r="G144" s="10">
        <v>7117</v>
      </c>
      <c r="H144" s="10">
        <v>4393</v>
      </c>
      <c r="I144" s="10">
        <v>6745</v>
      </c>
      <c r="J144" s="10">
        <v>0</v>
      </c>
      <c r="K144" s="10">
        <v>0</v>
      </c>
      <c r="L144" s="10">
        <v>1939</v>
      </c>
      <c r="M144" s="10">
        <v>5138</v>
      </c>
      <c r="N144" s="10">
        <v>0</v>
      </c>
      <c r="O144" s="10">
        <v>2547</v>
      </c>
      <c r="P144" s="10">
        <v>5763</v>
      </c>
      <c r="Q144" s="10">
        <v>1552</v>
      </c>
      <c r="R144" s="10">
        <v>11648</v>
      </c>
      <c r="S144" s="10">
        <v>70632</v>
      </c>
      <c r="T144" s="10">
        <v>35114</v>
      </c>
      <c r="U144" s="10">
        <v>17.801962846126884</v>
      </c>
      <c r="V144" s="10">
        <v>21.187953081733614</v>
      </c>
      <c r="W144" s="10">
        <v>0</v>
      </c>
      <c r="X144" s="10">
        <v>16.541860465116279</v>
      </c>
      <c r="Y144" s="10">
        <v>29.653570834026969</v>
      </c>
      <c r="Z144" s="10">
        <v>16.159758325136995</v>
      </c>
      <c r="AA144" s="10">
        <v>16.253129979512863</v>
      </c>
      <c r="AB144" s="10">
        <v>30.76767976278725</v>
      </c>
      <c r="AC144" s="10">
        <v>0</v>
      </c>
      <c r="AD144" s="10">
        <v>0</v>
      </c>
      <c r="AE144" s="10">
        <v>0</v>
      </c>
      <c r="AF144" s="10">
        <v>40.309653561697154</v>
      </c>
      <c r="AG144" s="10">
        <v>0</v>
      </c>
      <c r="AH144" s="10">
        <v>24.723989006674518</v>
      </c>
      <c r="AI144" s="10">
        <v>37.413326392503905</v>
      </c>
      <c r="AJ144" s="10">
        <v>0</v>
      </c>
      <c r="AK144" s="10">
        <v>22.219072164948454</v>
      </c>
      <c r="AL144" s="10">
        <v>23.528674450549449</v>
      </c>
      <c r="AM144" s="10">
        <v>0</v>
      </c>
      <c r="AN144" s="10">
        <v>2</v>
      </c>
      <c r="AO144" s="10">
        <v>3</v>
      </c>
      <c r="AP144" s="10">
        <v>16</v>
      </c>
      <c r="AQ144" s="10">
        <v>6</v>
      </c>
      <c r="AR144" s="10">
        <v>3</v>
      </c>
      <c r="AS144" s="10">
        <v>2</v>
      </c>
      <c r="AT144" s="10">
        <v>3</v>
      </c>
      <c r="AU144" s="10">
        <v>2</v>
      </c>
      <c r="AV144" s="10">
        <v>0</v>
      </c>
      <c r="AW144" s="10">
        <v>1</v>
      </c>
      <c r="AX144" s="10">
        <v>2</v>
      </c>
      <c r="AY144" s="10">
        <v>0</v>
      </c>
      <c r="AZ144" s="10">
        <v>2</v>
      </c>
      <c r="BA144" s="10">
        <v>1</v>
      </c>
      <c r="BB144" s="10">
        <v>0</v>
      </c>
      <c r="BC144" s="10">
        <v>43</v>
      </c>
      <c r="BD144" s="10">
        <v>4</v>
      </c>
      <c r="BE144" s="10">
        <v>0</v>
      </c>
      <c r="BF144" s="10">
        <v>10</v>
      </c>
      <c r="BG144" s="10">
        <v>4</v>
      </c>
      <c r="BH144" s="10">
        <v>3</v>
      </c>
      <c r="BI144" s="10">
        <v>1</v>
      </c>
      <c r="BJ144" s="10">
        <v>2</v>
      </c>
      <c r="BK144" s="10">
        <v>0</v>
      </c>
      <c r="BL144" s="10">
        <v>0</v>
      </c>
      <c r="BM144" s="10">
        <v>0</v>
      </c>
      <c r="BN144" s="10">
        <v>0</v>
      </c>
      <c r="BO144" s="10">
        <v>0</v>
      </c>
      <c r="BP144" s="10">
        <v>3</v>
      </c>
      <c r="BQ144" s="10">
        <v>0</v>
      </c>
      <c r="BR144" s="10">
        <v>0</v>
      </c>
      <c r="BS144" s="10">
        <v>27</v>
      </c>
    </row>
    <row r="145" spans="1:71" x14ac:dyDescent="0.55000000000000004">
      <c r="A145" s="10">
        <v>728</v>
      </c>
      <c r="B145" s="10">
        <v>2022</v>
      </c>
      <c r="C145" s="10">
        <v>4955</v>
      </c>
      <c r="D145" s="10">
        <v>32295</v>
      </c>
      <c r="E145" s="10">
        <v>14479</v>
      </c>
      <c r="F145" s="10">
        <v>7207</v>
      </c>
      <c r="G145" s="10">
        <v>10063</v>
      </c>
      <c r="H145" s="10">
        <v>1572</v>
      </c>
      <c r="I145" s="10">
        <v>7309</v>
      </c>
      <c r="J145" s="10">
        <v>0</v>
      </c>
      <c r="K145" s="10">
        <v>0</v>
      </c>
      <c r="L145" s="10">
        <v>3671</v>
      </c>
      <c r="M145" s="10">
        <v>3340</v>
      </c>
      <c r="N145" s="10">
        <v>0</v>
      </c>
      <c r="O145" s="10">
        <v>2366</v>
      </c>
      <c r="P145" s="10">
        <v>10520</v>
      </c>
      <c r="Q145" s="10">
        <v>2215</v>
      </c>
      <c r="R145" s="10">
        <v>3403</v>
      </c>
      <c r="S145" s="10">
        <v>67708</v>
      </c>
      <c r="T145" s="10">
        <v>35687</v>
      </c>
      <c r="U145" s="10">
        <v>16.030272452068616</v>
      </c>
      <c r="V145" s="10">
        <v>23.388821799040098</v>
      </c>
      <c r="W145" s="10">
        <v>33.811997526283243</v>
      </c>
      <c r="X145" s="10">
        <v>13.583672905587402</v>
      </c>
      <c r="Y145" s="10">
        <v>38.235188011655332</v>
      </c>
      <c r="Z145" s="10">
        <v>18.72125608665408</v>
      </c>
      <c r="AA145" s="10">
        <v>17.240458015267176</v>
      </c>
      <c r="AB145" s="10">
        <v>32.322479135312626</v>
      </c>
      <c r="AC145" s="10">
        <v>51.542670477746022</v>
      </c>
      <c r="AD145" s="10">
        <v>0</v>
      </c>
      <c r="AE145" s="10">
        <v>21.368292018523565</v>
      </c>
      <c r="AF145" s="10">
        <v>45.721856287425155</v>
      </c>
      <c r="AG145" s="10">
        <v>0</v>
      </c>
      <c r="AH145" s="10">
        <v>22.65426880811496</v>
      </c>
      <c r="AI145" s="10">
        <v>38.749144486692011</v>
      </c>
      <c r="AJ145" s="10">
        <v>57.987179487179482</v>
      </c>
      <c r="AK145" s="10">
        <v>23.515575620767496</v>
      </c>
      <c r="AL145" s="10">
        <v>23.101968851013812</v>
      </c>
      <c r="AM145" s="10">
        <v>0</v>
      </c>
      <c r="AN145" s="10">
        <v>1</v>
      </c>
      <c r="AO145" s="10">
        <v>2</v>
      </c>
      <c r="AP145" s="10">
        <v>12</v>
      </c>
      <c r="AQ145" s="10">
        <v>6</v>
      </c>
      <c r="AR145" s="10">
        <v>4</v>
      </c>
      <c r="AS145" s="10">
        <v>0</v>
      </c>
      <c r="AT145" s="10">
        <v>2</v>
      </c>
      <c r="AU145" s="10">
        <v>1</v>
      </c>
      <c r="AV145" s="10">
        <v>0</v>
      </c>
      <c r="AW145" s="10">
        <v>2</v>
      </c>
      <c r="AX145" s="10">
        <v>1</v>
      </c>
      <c r="AY145" s="10">
        <v>0</v>
      </c>
      <c r="AZ145" s="10">
        <v>6</v>
      </c>
      <c r="BA145" s="10">
        <v>1</v>
      </c>
      <c r="BB145" s="10">
        <v>0</v>
      </c>
      <c r="BC145" s="10">
        <v>38</v>
      </c>
      <c r="BD145" s="10">
        <v>1</v>
      </c>
      <c r="BE145" s="10">
        <v>0</v>
      </c>
      <c r="BF145" s="10">
        <v>4</v>
      </c>
      <c r="BG145" s="10">
        <v>3</v>
      </c>
      <c r="BH145" s="10">
        <v>1</v>
      </c>
      <c r="BI145" s="10">
        <v>1</v>
      </c>
      <c r="BJ145" s="10">
        <v>1</v>
      </c>
      <c r="BK145" s="10">
        <v>1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12</v>
      </c>
    </row>
    <row r="146" spans="1:71" x14ac:dyDescent="0.55000000000000004">
      <c r="A146" s="10">
        <v>594</v>
      </c>
      <c r="B146" s="10">
        <v>2022</v>
      </c>
      <c r="C146" s="10">
        <v>5638</v>
      </c>
      <c r="D146" s="10">
        <v>32297</v>
      </c>
      <c r="E146" s="10">
        <v>17971</v>
      </c>
      <c r="F146" s="10">
        <v>5391</v>
      </c>
      <c r="G146" s="10">
        <v>6334</v>
      </c>
      <c r="H146" s="10">
        <v>2647</v>
      </c>
      <c r="I146" s="10">
        <v>11952</v>
      </c>
      <c r="J146" s="10">
        <v>0</v>
      </c>
      <c r="K146" s="10">
        <v>0</v>
      </c>
      <c r="L146" s="10">
        <v>9</v>
      </c>
      <c r="M146" s="10">
        <v>5818</v>
      </c>
      <c r="N146" s="10">
        <v>1456</v>
      </c>
      <c r="O146" s="10">
        <v>4388</v>
      </c>
      <c r="P146" s="10">
        <v>4064</v>
      </c>
      <c r="Q146" s="10">
        <v>2167</v>
      </c>
      <c r="R146" s="10">
        <v>3842</v>
      </c>
      <c r="S146" s="10">
        <v>67243</v>
      </c>
      <c r="T146" s="10">
        <v>36731</v>
      </c>
      <c r="U146" s="10">
        <v>20.995743171337352</v>
      </c>
      <c r="V146" s="10">
        <v>23.276248567978449</v>
      </c>
      <c r="W146" s="10">
        <v>32.552731893265566</v>
      </c>
      <c r="X146" s="10">
        <v>17.753825607923879</v>
      </c>
      <c r="Y146" s="10">
        <v>28.618438137636804</v>
      </c>
      <c r="Z146" s="10">
        <v>16.189137985475213</v>
      </c>
      <c r="AA146" s="10">
        <v>15.488099735549678</v>
      </c>
      <c r="AB146" s="10">
        <v>27.990378179384205</v>
      </c>
      <c r="AC146" s="10">
        <v>0</v>
      </c>
      <c r="AD146" s="10">
        <v>0</v>
      </c>
      <c r="AE146" s="10">
        <v>24.777777777777779</v>
      </c>
      <c r="AF146" s="10">
        <v>37.580268133379164</v>
      </c>
      <c r="AG146" s="10">
        <v>15</v>
      </c>
      <c r="AH146" s="10">
        <v>22.192114858705562</v>
      </c>
      <c r="AI146" s="10">
        <v>36.689222440944881</v>
      </c>
      <c r="AJ146" s="10">
        <v>0</v>
      </c>
      <c r="AK146" s="10">
        <v>30.038301799723119</v>
      </c>
      <c r="AL146" s="10">
        <v>23.314679854242584</v>
      </c>
      <c r="AM146" s="10">
        <v>0</v>
      </c>
      <c r="AN146" s="10">
        <v>3</v>
      </c>
      <c r="AO146" s="10">
        <v>3</v>
      </c>
      <c r="AP146" s="10">
        <v>14</v>
      </c>
      <c r="AQ146" s="10">
        <v>6</v>
      </c>
      <c r="AR146" s="10">
        <v>2</v>
      </c>
      <c r="AS146" s="10">
        <v>1</v>
      </c>
      <c r="AT146" s="10">
        <v>5</v>
      </c>
      <c r="AU146" s="10">
        <v>2</v>
      </c>
      <c r="AV146" s="10">
        <v>0</v>
      </c>
      <c r="AW146" s="10">
        <v>0</v>
      </c>
      <c r="AX146" s="10">
        <v>1</v>
      </c>
      <c r="AY146" s="10">
        <v>0</v>
      </c>
      <c r="AZ146" s="10">
        <v>3</v>
      </c>
      <c r="BA146" s="10">
        <v>1</v>
      </c>
      <c r="BB146" s="10">
        <v>1</v>
      </c>
      <c r="BC146" s="10">
        <v>42</v>
      </c>
      <c r="BD146" s="10">
        <v>0</v>
      </c>
      <c r="BE146" s="10">
        <v>0</v>
      </c>
      <c r="BF146" s="10">
        <v>0</v>
      </c>
      <c r="BG146" s="10">
        <v>7</v>
      </c>
      <c r="BH146" s="10">
        <v>6</v>
      </c>
      <c r="BI146" s="10">
        <v>0</v>
      </c>
      <c r="BJ146" s="10">
        <v>1</v>
      </c>
      <c r="BK146" s="10">
        <v>0</v>
      </c>
      <c r="BL146" s="10">
        <v>0</v>
      </c>
      <c r="BM146" s="10">
        <v>0</v>
      </c>
      <c r="BN146" s="10">
        <v>1</v>
      </c>
      <c r="BO146" s="10">
        <v>0</v>
      </c>
      <c r="BP146" s="10">
        <v>0</v>
      </c>
      <c r="BQ146" s="10">
        <v>0</v>
      </c>
      <c r="BR146" s="10">
        <v>0</v>
      </c>
      <c r="BS146" s="10">
        <v>15</v>
      </c>
    </row>
    <row r="147" spans="1:71" x14ac:dyDescent="0.55000000000000004">
      <c r="A147" s="10">
        <v>435</v>
      </c>
      <c r="B147" s="10">
        <v>2022</v>
      </c>
      <c r="C147" s="10">
        <v>4091</v>
      </c>
      <c r="D147" s="10">
        <v>32492</v>
      </c>
      <c r="E147" s="10">
        <v>19058</v>
      </c>
      <c r="F147" s="10">
        <v>8889</v>
      </c>
      <c r="G147" s="10">
        <v>0</v>
      </c>
      <c r="H147" s="10">
        <v>0</v>
      </c>
      <c r="I147" s="10">
        <v>16874</v>
      </c>
      <c r="J147" s="10">
        <v>0</v>
      </c>
      <c r="K147" s="10">
        <v>0</v>
      </c>
      <c r="L147" s="10">
        <v>5195</v>
      </c>
      <c r="M147" s="10">
        <v>5195</v>
      </c>
      <c r="N147" s="10">
        <v>0</v>
      </c>
      <c r="O147" s="10">
        <v>2263</v>
      </c>
      <c r="P147" s="10">
        <v>8460</v>
      </c>
      <c r="Q147" s="10">
        <v>6503</v>
      </c>
      <c r="R147" s="10">
        <v>0</v>
      </c>
      <c r="S147" s="10">
        <v>78810</v>
      </c>
      <c r="T147" s="10">
        <v>30210</v>
      </c>
      <c r="U147" s="10">
        <v>22.02786604742117</v>
      </c>
      <c r="V147" s="10">
        <v>21.511725963314049</v>
      </c>
      <c r="W147" s="10">
        <v>32.184086242299799</v>
      </c>
      <c r="X147" s="10">
        <v>23.997428901248821</v>
      </c>
      <c r="Y147" s="10">
        <v>27.041399482506467</v>
      </c>
      <c r="Z147" s="10">
        <v>0</v>
      </c>
      <c r="AA147" s="10">
        <v>0</v>
      </c>
      <c r="AB147" s="10">
        <v>36.146201256370745</v>
      </c>
      <c r="AC147" s="10">
        <v>47.884582502137363</v>
      </c>
      <c r="AD147" s="10">
        <v>0</v>
      </c>
      <c r="AE147" s="10">
        <v>26.556881616939364</v>
      </c>
      <c r="AF147" s="10">
        <v>45.382290664100097</v>
      </c>
      <c r="AG147" s="10">
        <v>0</v>
      </c>
      <c r="AH147" s="10">
        <v>30.695536897923112</v>
      </c>
      <c r="AI147" s="10">
        <v>39.457565011820328</v>
      </c>
      <c r="AJ147" s="10">
        <v>60.544770388573184</v>
      </c>
      <c r="AK147" s="10">
        <v>22.363678302322008</v>
      </c>
      <c r="AL147" s="10">
        <v>0</v>
      </c>
      <c r="AM147" s="10">
        <v>0</v>
      </c>
      <c r="AN147" s="10">
        <v>2</v>
      </c>
      <c r="AO147" s="10">
        <v>4</v>
      </c>
      <c r="AP147" s="10">
        <v>13</v>
      </c>
      <c r="AQ147" s="10">
        <v>8</v>
      </c>
      <c r="AR147" s="10">
        <v>0</v>
      </c>
      <c r="AS147" s="10">
        <v>0</v>
      </c>
      <c r="AT147" s="10">
        <v>5</v>
      </c>
      <c r="AU147" s="10">
        <v>1</v>
      </c>
      <c r="AV147" s="10">
        <v>0</v>
      </c>
      <c r="AW147" s="10">
        <v>1</v>
      </c>
      <c r="AX147" s="10">
        <v>4</v>
      </c>
      <c r="AY147" s="10">
        <v>0</v>
      </c>
      <c r="AZ147" s="10">
        <v>4</v>
      </c>
      <c r="BA147" s="10">
        <v>3</v>
      </c>
      <c r="BB147" s="10">
        <v>0</v>
      </c>
      <c r="BC147" s="10">
        <v>45</v>
      </c>
      <c r="BD147" s="10">
        <v>0</v>
      </c>
      <c r="BE147" s="10">
        <v>0</v>
      </c>
      <c r="BF147" s="10">
        <v>2</v>
      </c>
      <c r="BG147" s="10">
        <v>4</v>
      </c>
      <c r="BH147" s="10">
        <v>0</v>
      </c>
      <c r="BI147" s="10">
        <v>0</v>
      </c>
      <c r="BJ147" s="10">
        <v>0</v>
      </c>
      <c r="BK147" s="10">
        <v>0</v>
      </c>
      <c r="BL147" s="10">
        <v>0</v>
      </c>
      <c r="BM147" s="10">
        <v>0</v>
      </c>
      <c r="BN147" s="10">
        <v>1</v>
      </c>
      <c r="BO147" s="10">
        <v>0</v>
      </c>
      <c r="BP147" s="10">
        <v>0</v>
      </c>
      <c r="BQ147" s="10">
        <v>0</v>
      </c>
      <c r="BR147" s="10">
        <v>0</v>
      </c>
      <c r="BS147" s="10">
        <v>7</v>
      </c>
    </row>
    <row r="148" spans="1:71" x14ac:dyDescent="0.55000000000000004">
      <c r="A148" s="10">
        <v>772</v>
      </c>
      <c r="B148" s="10">
        <v>2022</v>
      </c>
      <c r="C148" s="10">
        <v>3070</v>
      </c>
      <c r="D148" s="10">
        <v>32523</v>
      </c>
      <c r="E148" s="10">
        <v>10026</v>
      </c>
      <c r="F148" s="10">
        <v>3460</v>
      </c>
      <c r="G148" s="10">
        <v>12329</v>
      </c>
      <c r="H148" s="10">
        <v>1151</v>
      </c>
      <c r="I148" s="10">
        <v>17892</v>
      </c>
      <c r="J148" s="10">
        <v>0</v>
      </c>
      <c r="K148" s="10">
        <v>0</v>
      </c>
      <c r="L148" s="10">
        <v>6723</v>
      </c>
      <c r="M148" s="10">
        <v>13579</v>
      </c>
      <c r="N148" s="10">
        <v>0</v>
      </c>
      <c r="O148" s="10">
        <v>4374</v>
      </c>
      <c r="P148" s="10">
        <v>4803</v>
      </c>
      <c r="Q148" s="10">
        <v>822</v>
      </c>
      <c r="R148" s="10">
        <v>18089</v>
      </c>
      <c r="S148" s="10">
        <v>97501</v>
      </c>
      <c r="T148" s="10">
        <v>31340</v>
      </c>
      <c r="U148" s="10">
        <v>16.558957654723127</v>
      </c>
      <c r="V148" s="10">
        <v>17.840574362758662</v>
      </c>
      <c r="W148" s="10">
        <v>27.636895674300252</v>
      </c>
      <c r="X148" s="10">
        <v>14.430979453421104</v>
      </c>
      <c r="Y148" s="10">
        <v>39.001156069364164</v>
      </c>
      <c r="Z148" s="10">
        <v>14.363938681158245</v>
      </c>
      <c r="AA148" s="10">
        <v>12.96524761077324</v>
      </c>
      <c r="AB148" s="10">
        <v>23.846300022356356</v>
      </c>
      <c r="AC148" s="10">
        <v>0</v>
      </c>
      <c r="AD148" s="10">
        <v>0</v>
      </c>
      <c r="AE148" s="10">
        <v>17.817492190986169</v>
      </c>
      <c r="AF148" s="10">
        <v>35.734148317254586</v>
      </c>
      <c r="AG148" s="10">
        <v>0</v>
      </c>
      <c r="AH148" s="10">
        <v>18.445587562871513</v>
      </c>
      <c r="AI148" s="10">
        <v>34.016031646887363</v>
      </c>
      <c r="AJ148" s="10">
        <v>0</v>
      </c>
      <c r="AK148" s="10">
        <v>20.265206812652071</v>
      </c>
      <c r="AL148" s="10">
        <v>18.618884404886948</v>
      </c>
      <c r="AM148" s="10">
        <v>0</v>
      </c>
      <c r="AN148" s="10">
        <v>1</v>
      </c>
      <c r="AO148" s="10">
        <v>2</v>
      </c>
      <c r="AP148" s="10">
        <v>15</v>
      </c>
      <c r="AQ148" s="10">
        <v>8</v>
      </c>
      <c r="AR148" s="10">
        <v>3</v>
      </c>
      <c r="AS148" s="10">
        <v>1</v>
      </c>
      <c r="AT148" s="10">
        <v>5</v>
      </c>
      <c r="AU148" s="10">
        <v>3</v>
      </c>
      <c r="AV148" s="10">
        <v>0</v>
      </c>
      <c r="AW148" s="10">
        <v>3</v>
      </c>
      <c r="AX148" s="10">
        <v>4</v>
      </c>
      <c r="AY148" s="10">
        <v>0</v>
      </c>
      <c r="AZ148" s="10">
        <v>1</v>
      </c>
      <c r="BA148" s="10">
        <v>1</v>
      </c>
      <c r="BB148" s="10">
        <v>6</v>
      </c>
      <c r="BC148" s="10">
        <v>53</v>
      </c>
      <c r="BD148" s="10">
        <v>1</v>
      </c>
      <c r="BE148" s="10">
        <v>0</v>
      </c>
      <c r="BF148" s="10">
        <v>3</v>
      </c>
      <c r="BG148" s="10">
        <v>1</v>
      </c>
      <c r="BH148" s="10">
        <v>4</v>
      </c>
      <c r="BI148" s="10">
        <v>0</v>
      </c>
      <c r="BJ148" s="10">
        <v>1</v>
      </c>
      <c r="BK148" s="10">
        <v>0</v>
      </c>
      <c r="BL148" s="10">
        <v>0</v>
      </c>
      <c r="BM148" s="10">
        <v>0</v>
      </c>
      <c r="BN148" s="10">
        <v>0</v>
      </c>
      <c r="BO148" s="10">
        <v>0</v>
      </c>
      <c r="BP148" s="10">
        <v>0</v>
      </c>
      <c r="BQ148" s="10">
        <v>0</v>
      </c>
      <c r="BR148" s="10">
        <v>0</v>
      </c>
      <c r="BS148" s="10">
        <v>10</v>
      </c>
    </row>
    <row r="149" spans="1:71" x14ac:dyDescent="0.55000000000000004">
      <c r="A149" s="10">
        <v>315</v>
      </c>
      <c r="B149" s="10">
        <v>2022</v>
      </c>
      <c r="C149" s="10">
        <v>8070</v>
      </c>
      <c r="D149" s="10">
        <v>32876</v>
      </c>
      <c r="E149" s="10">
        <v>21848</v>
      </c>
      <c r="F149" s="10">
        <v>5392</v>
      </c>
      <c r="G149" s="10">
        <v>10739</v>
      </c>
      <c r="H149" s="10">
        <v>2123</v>
      </c>
      <c r="I149" s="10">
        <v>6649</v>
      </c>
      <c r="J149" s="10">
        <v>0</v>
      </c>
      <c r="K149" s="10">
        <v>0</v>
      </c>
      <c r="L149" s="10">
        <v>8981</v>
      </c>
      <c r="M149" s="10">
        <v>14673</v>
      </c>
      <c r="N149" s="10">
        <v>0</v>
      </c>
      <c r="O149" s="10">
        <v>6243</v>
      </c>
      <c r="P149" s="10">
        <v>13609</v>
      </c>
      <c r="Q149" s="10">
        <v>6670</v>
      </c>
      <c r="R149" s="10">
        <v>1888</v>
      </c>
      <c r="S149" s="10">
        <v>93416</v>
      </c>
      <c r="T149" s="10">
        <v>46345</v>
      </c>
      <c r="U149" s="10">
        <v>27.247087980173482</v>
      </c>
      <c r="V149" s="10">
        <v>28.561716753862999</v>
      </c>
      <c r="W149" s="10">
        <v>37.370356217891562</v>
      </c>
      <c r="X149" s="10">
        <v>26.739381179055293</v>
      </c>
      <c r="Y149" s="10">
        <v>47.305267062314542</v>
      </c>
      <c r="Z149" s="10">
        <v>19.522581245926066</v>
      </c>
      <c r="AA149" s="10">
        <v>20.171926519076777</v>
      </c>
      <c r="AB149" s="10">
        <v>32.455707625206799</v>
      </c>
      <c r="AC149" s="10">
        <v>53.289093701996933</v>
      </c>
      <c r="AD149" s="10">
        <v>0</v>
      </c>
      <c r="AE149" s="10">
        <v>26.607504732212448</v>
      </c>
      <c r="AF149" s="10">
        <v>52.154092550943915</v>
      </c>
      <c r="AG149" s="10">
        <v>0</v>
      </c>
      <c r="AH149" s="10">
        <v>34.91542527630947</v>
      </c>
      <c r="AI149" s="10">
        <v>56.630318171798073</v>
      </c>
      <c r="AJ149" s="10">
        <v>62.900889453621346</v>
      </c>
      <c r="AK149" s="10">
        <v>35.521739130434781</v>
      </c>
      <c r="AL149" s="10">
        <v>24.909957627118647</v>
      </c>
      <c r="AM149" s="10">
        <v>0</v>
      </c>
      <c r="AN149" s="10">
        <v>2</v>
      </c>
      <c r="AO149" s="10">
        <v>0</v>
      </c>
      <c r="AP149" s="10">
        <v>23</v>
      </c>
      <c r="AQ149" s="10">
        <v>0</v>
      </c>
      <c r="AR149" s="10">
        <v>0</v>
      </c>
      <c r="AS149" s="10">
        <v>0</v>
      </c>
      <c r="AT149" s="10">
        <v>2</v>
      </c>
      <c r="AU149" s="10">
        <v>0</v>
      </c>
      <c r="AV149" s="10">
        <v>0</v>
      </c>
      <c r="AW149" s="10">
        <v>6</v>
      </c>
      <c r="AX149" s="10">
        <v>5</v>
      </c>
      <c r="AY149" s="10">
        <v>0</v>
      </c>
      <c r="AZ149" s="10">
        <v>2</v>
      </c>
      <c r="BA149" s="10">
        <v>1</v>
      </c>
      <c r="BB149" s="10">
        <v>0</v>
      </c>
      <c r="BC149" s="10">
        <v>41</v>
      </c>
      <c r="BD149" s="10">
        <v>5</v>
      </c>
      <c r="BE149" s="10">
        <v>0</v>
      </c>
      <c r="BF149" s="10">
        <v>9</v>
      </c>
      <c r="BG149" s="10">
        <v>0</v>
      </c>
      <c r="BH149" s="10">
        <v>0</v>
      </c>
      <c r="BI149" s="10">
        <v>0</v>
      </c>
      <c r="BJ149" s="10">
        <v>3</v>
      </c>
      <c r="BK149" s="10">
        <v>0</v>
      </c>
      <c r="BL149" s="10">
        <v>0</v>
      </c>
      <c r="BM149" s="10">
        <v>2</v>
      </c>
      <c r="BN149" s="10">
        <v>0</v>
      </c>
      <c r="BO149" s="10">
        <v>0</v>
      </c>
      <c r="BP149" s="10">
        <v>7</v>
      </c>
      <c r="BQ149" s="10">
        <v>0</v>
      </c>
      <c r="BR149" s="10">
        <v>1</v>
      </c>
      <c r="BS149" s="10">
        <v>27</v>
      </c>
    </row>
    <row r="150" spans="1:71" x14ac:dyDescent="0.55000000000000004">
      <c r="A150" s="10">
        <v>438</v>
      </c>
      <c r="B150" s="10">
        <v>2022</v>
      </c>
      <c r="C150" s="10">
        <v>7535</v>
      </c>
      <c r="D150" s="10">
        <v>33101</v>
      </c>
      <c r="E150" s="10">
        <v>15146</v>
      </c>
      <c r="F150" s="10">
        <v>12152</v>
      </c>
      <c r="G150" s="10">
        <v>6142</v>
      </c>
      <c r="H150" s="10">
        <v>1574</v>
      </c>
      <c r="I150" s="10">
        <v>10865</v>
      </c>
      <c r="J150" s="10">
        <v>0</v>
      </c>
      <c r="K150" s="10">
        <v>0</v>
      </c>
      <c r="L150" s="10">
        <v>3472</v>
      </c>
      <c r="M150" s="10">
        <v>7693</v>
      </c>
      <c r="N150" s="10">
        <v>0</v>
      </c>
      <c r="O150" s="10">
        <v>6197</v>
      </c>
      <c r="P150" s="10">
        <v>5062</v>
      </c>
      <c r="Q150" s="10">
        <v>2174</v>
      </c>
      <c r="R150" s="10">
        <v>11547</v>
      </c>
      <c r="S150" s="10">
        <v>81449</v>
      </c>
      <c r="T150" s="10">
        <v>41211</v>
      </c>
      <c r="U150" s="10">
        <v>16.415394824153946</v>
      </c>
      <c r="V150" s="10">
        <v>19.24035527627564</v>
      </c>
      <c r="W150" s="10">
        <v>0</v>
      </c>
      <c r="X150" s="10">
        <v>18.719463884854086</v>
      </c>
      <c r="Y150" s="10">
        <v>29.142857142857142</v>
      </c>
      <c r="Z150" s="10">
        <v>16.326603712145879</v>
      </c>
      <c r="AA150" s="10">
        <v>19.878017789072427</v>
      </c>
      <c r="AB150" s="10">
        <v>27.418039576622181</v>
      </c>
      <c r="AC150" s="10">
        <v>0</v>
      </c>
      <c r="AD150" s="10">
        <v>0</v>
      </c>
      <c r="AE150" s="10">
        <v>17.454781105990783</v>
      </c>
      <c r="AF150" s="10">
        <v>33.384895359417648</v>
      </c>
      <c r="AG150" s="10">
        <v>0</v>
      </c>
      <c r="AH150" s="10">
        <v>25.166048087784414</v>
      </c>
      <c r="AI150" s="10">
        <v>36.908336625839588</v>
      </c>
      <c r="AJ150" s="10">
        <v>0</v>
      </c>
      <c r="AK150" s="10">
        <v>23.076816927322906</v>
      </c>
      <c r="AL150" s="10">
        <v>19.197020871221962</v>
      </c>
      <c r="AM150" s="10">
        <v>0</v>
      </c>
      <c r="AN150" s="10">
        <v>2</v>
      </c>
      <c r="AO150" s="10">
        <v>4</v>
      </c>
      <c r="AP150" s="10">
        <v>3</v>
      </c>
      <c r="AQ150" s="10">
        <v>3</v>
      </c>
      <c r="AR150" s="10">
        <v>1</v>
      </c>
      <c r="AS150" s="10">
        <v>1</v>
      </c>
      <c r="AT150" s="10">
        <v>1</v>
      </c>
      <c r="AU150" s="10">
        <v>3</v>
      </c>
      <c r="AV150" s="10">
        <v>0</v>
      </c>
      <c r="AW150" s="10">
        <v>1</v>
      </c>
      <c r="AX150" s="10">
        <v>4</v>
      </c>
      <c r="AY150" s="10">
        <v>0</v>
      </c>
      <c r="AZ150" s="10">
        <v>1</v>
      </c>
      <c r="BA150" s="10">
        <v>1</v>
      </c>
      <c r="BB150" s="10">
        <v>2</v>
      </c>
      <c r="BC150" s="10">
        <v>27</v>
      </c>
      <c r="BD150" s="10">
        <v>4</v>
      </c>
      <c r="BE150" s="10">
        <v>0</v>
      </c>
      <c r="BF150" s="10">
        <v>15</v>
      </c>
      <c r="BG150" s="10">
        <v>12</v>
      </c>
      <c r="BH150" s="10">
        <v>4</v>
      </c>
      <c r="BI150" s="10">
        <v>0</v>
      </c>
      <c r="BJ150" s="10">
        <v>8</v>
      </c>
      <c r="BK150" s="10">
        <v>0</v>
      </c>
      <c r="BL150" s="10">
        <v>0</v>
      </c>
      <c r="BM150" s="10">
        <v>2</v>
      </c>
      <c r="BN150" s="10">
        <v>0</v>
      </c>
      <c r="BO150" s="10">
        <v>1</v>
      </c>
      <c r="BP150" s="10">
        <v>1</v>
      </c>
      <c r="BQ150" s="10">
        <v>0</v>
      </c>
      <c r="BR150" s="10">
        <v>9</v>
      </c>
      <c r="BS150" s="10">
        <v>56</v>
      </c>
    </row>
    <row r="151" spans="1:71" x14ac:dyDescent="0.55000000000000004">
      <c r="A151" s="10">
        <v>300</v>
      </c>
      <c r="B151" s="10">
        <v>2022</v>
      </c>
      <c r="C151" s="10">
        <v>4813</v>
      </c>
      <c r="D151" s="10">
        <v>33207</v>
      </c>
      <c r="E151" s="10">
        <v>24264</v>
      </c>
      <c r="F151" s="10">
        <v>13938</v>
      </c>
      <c r="G151" s="10">
        <v>0</v>
      </c>
      <c r="H151" s="10">
        <v>0</v>
      </c>
      <c r="I151" s="10">
        <v>21537</v>
      </c>
      <c r="J151" s="10">
        <v>427</v>
      </c>
      <c r="K151" s="10">
        <v>0</v>
      </c>
      <c r="L151" s="10">
        <v>5956</v>
      </c>
      <c r="M151" s="10">
        <v>9006</v>
      </c>
      <c r="N151" s="10">
        <v>0</v>
      </c>
      <c r="O151" s="10">
        <v>2037</v>
      </c>
      <c r="P151" s="10">
        <v>9844</v>
      </c>
      <c r="Q151" s="10">
        <v>6553</v>
      </c>
      <c r="R151" s="10">
        <v>2352</v>
      </c>
      <c r="S151" s="10">
        <v>93695</v>
      </c>
      <c r="T151" s="10">
        <v>40239</v>
      </c>
      <c r="U151" s="10">
        <v>21.778516517764388</v>
      </c>
      <c r="V151" s="10">
        <v>21.944469539554913</v>
      </c>
      <c r="W151" s="10">
        <v>25.676098359078001</v>
      </c>
      <c r="X151" s="10">
        <v>18.786308935047806</v>
      </c>
      <c r="Y151" s="10">
        <v>29.604677859090256</v>
      </c>
      <c r="Z151" s="10">
        <v>0</v>
      </c>
      <c r="AA151" s="10">
        <v>0</v>
      </c>
      <c r="AB151" s="10">
        <v>37.162882481311236</v>
      </c>
      <c r="AC151" s="10">
        <v>29.498529411764704</v>
      </c>
      <c r="AD151" s="10">
        <v>0</v>
      </c>
      <c r="AE151" s="10">
        <v>26.421255876427132</v>
      </c>
      <c r="AF151" s="10">
        <v>46.921274705751721</v>
      </c>
      <c r="AG151" s="10">
        <v>0</v>
      </c>
      <c r="AH151" s="10">
        <v>27.383406971035839</v>
      </c>
      <c r="AI151" s="10">
        <v>45.250711093051606</v>
      </c>
      <c r="AJ151" s="10">
        <v>36.942847740236942</v>
      </c>
      <c r="AK151" s="10">
        <v>32.843888295437203</v>
      </c>
      <c r="AL151" s="10">
        <v>27.284013605442176</v>
      </c>
      <c r="AM151" s="10">
        <v>36.524767801857585</v>
      </c>
      <c r="AN151" s="10">
        <v>2</v>
      </c>
      <c r="AO151" s="10">
        <v>3</v>
      </c>
      <c r="AP151" s="10">
        <v>12</v>
      </c>
      <c r="AQ151" s="10">
        <v>10</v>
      </c>
      <c r="AR151" s="10">
        <v>0</v>
      </c>
      <c r="AS151" s="10">
        <v>0</v>
      </c>
      <c r="AT151" s="10">
        <v>5</v>
      </c>
      <c r="AU151" s="10">
        <v>1</v>
      </c>
      <c r="AV151" s="10">
        <v>0</v>
      </c>
      <c r="AW151" s="10">
        <v>1</v>
      </c>
      <c r="AX151" s="10">
        <v>4</v>
      </c>
      <c r="AY151" s="10">
        <v>0</v>
      </c>
      <c r="AZ151" s="10">
        <v>1</v>
      </c>
      <c r="BA151" s="10">
        <v>5</v>
      </c>
      <c r="BB151" s="10">
        <v>3</v>
      </c>
      <c r="BC151" s="10">
        <v>47</v>
      </c>
      <c r="BD151" s="10">
        <v>0</v>
      </c>
      <c r="BE151" s="10">
        <v>1</v>
      </c>
      <c r="BF151" s="10">
        <v>2</v>
      </c>
      <c r="BG151" s="10">
        <v>7</v>
      </c>
      <c r="BH151" s="10">
        <v>0</v>
      </c>
      <c r="BI151" s="10">
        <v>0</v>
      </c>
      <c r="BJ151" s="10">
        <v>1</v>
      </c>
      <c r="BK151" s="10">
        <v>0</v>
      </c>
      <c r="BL151" s="10">
        <v>0</v>
      </c>
      <c r="BM151" s="10">
        <v>0</v>
      </c>
      <c r="BN151" s="10">
        <v>0</v>
      </c>
      <c r="BO151" s="10">
        <v>0</v>
      </c>
      <c r="BP151" s="10">
        <v>4</v>
      </c>
      <c r="BQ151" s="10">
        <v>0</v>
      </c>
      <c r="BR151" s="10">
        <v>0</v>
      </c>
      <c r="BS151" s="10">
        <v>15</v>
      </c>
    </row>
    <row r="152" spans="1:71" x14ac:dyDescent="0.55000000000000004">
      <c r="A152" s="10">
        <v>357</v>
      </c>
      <c r="B152" s="10">
        <v>2022</v>
      </c>
      <c r="C152" s="10">
        <v>5386</v>
      </c>
      <c r="D152" s="10">
        <v>33208</v>
      </c>
      <c r="E152" s="10">
        <v>20903</v>
      </c>
      <c r="F152" s="10">
        <v>9646</v>
      </c>
      <c r="G152" s="10">
        <v>7276</v>
      </c>
      <c r="H152" s="10">
        <v>2042</v>
      </c>
      <c r="I152" s="10">
        <v>16791</v>
      </c>
      <c r="J152" s="10">
        <v>0</v>
      </c>
      <c r="K152" s="10">
        <v>0</v>
      </c>
      <c r="L152" s="10">
        <v>4792</v>
      </c>
      <c r="M152" s="10">
        <v>3656</v>
      </c>
      <c r="N152" s="10">
        <v>3305</v>
      </c>
      <c r="O152" s="10">
        <v>3079</v>
      </c>
      <c r="P152" s="10">
        <v>13033</v>
      </c>
      <c r="Q152" s="10">
        <v>2032</v>
      </c>
      <c r="R152" s="10">
        <v>9623</v>
      </c>
      <c r="S152" s="10">
        <v>91826</v>
      </c>
      <c r="T152" s="10">
        <v>42946</v>
      </c>
      <c r="U152" s="10">
        <v>17.051243965837354</v>
      </c>
      <c r="V152" s="10">
        <v>14.274933750903395</v>
      </c>
      <c r="W152" s="10">
        <v>53.91941858982532</v>
      </c>
      <c r="X152" s="10">
        <v>12.657130555422667</v>
      </c>
      <c r="Y152" s="10">
        <v>27.326145552560646</v>
      </c>
      <c r="Z152" s="10">
        <v>15.510445299615172</v>
      </c>
      <c r="AA152" s="10">
        <v>15.333006856023506</v>
      </c>
      <c r="AB152" s="10">
        <v>21.615270085164671</v>
      </c>
      <c r="AC152" s="10">
        <v>0</v>
      </c>
      <c r="AD152" s="10">
        <v>0</v>
      </c>
      <c r="AE152" s="10">
        <v>24.426126878130216</v>
      </c>
      <c r="AF152" s="10">
        <v>46.05798687089716</v>
      </c>
      <c r="AG152" s="10">
        <v>20.008472012102875</v>
      </c>
      <c r="AH152" s="10">
        <v>20.39655732380643</v>
      </c>
      <c r="AI152" s="10">
        <v>26.462211309752167</v>
      </c>
      <c r="AJ152" s="10">
        <v>59.49074074074074</v>
      </c>
      <c r="AK152" s="10">
        <v>24.394192913385826</v>
      </c>
      <c r="AL152" s="10">
        <v>13.595448404863347</v>
      </c>
      <c r="AM152" s="10">
        <v>0</v>
      </c>
      <c r="AN152" s="10">
        <v>3</v>
      </c>
      <c r="AO152" s="10">
        <v>2</v>
      </c>
      <c r="AP152" s="10">
        <v>8</v>
      </c>
      <c r="AQ152" s="10">
        <v>13</v>
      </c>
      <c r="AR152" s="10">
        <v>11</v>
      </c>
      <c r="AS152" s="10">
        <v>0</v>
      </c>
      <c r="AT152" s="10">
        <v>2</v>
      </c>
      <c r="AU152" s="10">
        <v>3</v>
      </c>
      <c r="AV152" s="10">
        <v>0</v>
      </c>
      <c r="AW152" s="10">
        <v>1</v>
      </c>
      <c r="AX152" s="10">
        <v>2</v>
      </c>
      <c r="AY152" s="10">
        <v>3</v>
      </c>
      <c r="AZ152" s="10">
        <v>2</v>
      </c>
      <c r="BA152" s="10">
        <v>1</v>
      </c>
      <c r="BB152" s="10">
        <v>3</v>
      </c>
      <c r="BC152" s="10">
        <v>54</v>
      </c>
      <c r="BD152" s="10">
        <v>4</v>
      </c>
      <c r="BE152" s="10">
        <v>4</v>
      </c>
      <c r="BF152" s="10">
        <v>11</v>
      </c>
      <c r="BG152" s="10">
        <v>12</v>
      </c>
      <c r="BH152" s="10">
        <v>0</v>
      </c>
      <c r="BI152" s="10">
        <v>0</v>
      </c>
      <c r="BJ152" s="10">
        <v>6</v>
      </c>
      <c r="BK152" s="10">
        <v>0</v>
      </c>
      <c r="BL152" s="10">
        <v>0</v>
      </c>
      <c r="BM152" s="10">
        <v>0</v>
      </c>
      <c r="BN152" s="10">
        <v>0</v>
      </c>
      <c r="BO152" s="10">
        <v>3</v>
      </c>
      <c r="BP152" s="10">
        <v>5</v>
      </c>
      <c r="BQ152" s="10">
        <v>0</v>
      </c>
      <c r="BR152" s="10">
        <v>0</v>
      </c>
      <c r="BS152" s="10">
        <v>45</v>
      </c>
    </row>
    <row r="153" spans="1:71" x14ac:dyDescent="0.55000000000000004">
      <c r="A153" s="10">
        <v>184</v>
      </c>
      <c r="B153" s="10">
        <v>2022</v>
      </c>
      <c r="C153" s="10">
        <v>4705</v>
      </c>
      <c r="D153" s="10">
        <v>33323</v>
      </c>
      <c r="E153" s="10">
        <v>15753</v>
      </c>
      <c r="F153" s="10">
        <v>7415</v>
      </c>
      <c r="G153" s="10">
        <v>2352</v>
      </c>
      <c r="H153" s="10">
        <v>3293</v>
      </c>
      <c r="I153" s="10">
        <v>12750</v>
      </c>
      <c r="J153" s="10">
        <v>0</v>
      </c>
      <c r="K153" s="10">
        <v>0</v>
      </c>
      <c r="L153" s="10">
        <v>2262</v>
      </c>
      <c r="M153" s="10">
        <v>5443</v>
      </c>
      <c r="N153" s="10">
        <v>0</v>
      </c>
      <c r="O153" s="10">
        <v>8705</v>
      </c>
      <c r="P153" s="10">
        <v>8360</v>
      </c>
      <c r="Q153" s="10">
        <v>2501</v>
      </c>
      <c r="R153" s="10">
        <v>15509</v>
      </c>
      <c r="S153" s="10">
        <v>84853</v>
      </c>
      <c r="T153" s="10">
        <v>37518</v>
      </c>
      <c r="U153" s="10">
        <v>18.9394261424017</v>
      </c>
      <c r="V153" s="10">
        <v>20.503886204723464</v>
      </c>
      <c r="W153" s="10">
        <v>32.575449569976541</v>
      </c>
      <c r="X153" s="10">
        <v>12.276709198247952</v>
      </c>
      <c r="Y153" s="10">
        <v>30.609844908968306</v>
      </c>
      <c r="Z153" s="10">
        <v>15.78486394557823</v>
      </c>
      <c r="AA153" s="10">
        <v>16.77133313088369</v>
      </c>
      <c r="AB153" s="10">
        <v>29.694745098039217</v>
      </c>
      <c r="AC153" s="10">
        <v>50.715623669646654</v>
      </c>
      <c r="AD153" s="10">
        <v>0</v>
      </c>
      <c r="AE153" s="10">
        <v>17.674182139699383</v>
      </c>
      <c r="AF153" s="10">
        <v>47.740033069998162</v>
      </c>
      <c r="AG153" s="10">
        <v>0</v>
      </c>
      <c r="AH153" s="10">
        <v>22.739000574382537</v>
      </c>
      <c r="AI153" s="10">
        <v>42.715191387559813</v>
      </c>
      <c r="AJ153" s="10">
        <v>59.962373371924748</v>
      </c>
      <c r="AK153" s="10">
        <v>34.774890043982403</v>
      </c>
      <c r="AL153" s="10">
        <v>21.252756463988653</v>
      </c>
      <c r="AM153" s="10">
        <v>0</v>
      </c>
      <c r="AN153" s="10">
        <v>2</v>
      </c>
      <c r="AO153" s="10">
        <v>4</v>
      </c>
      <c r="AP153" s="10">
        <v>11</v>
      </c>
      <c r="AQ153" s="10">
        <v>8</v>
      </c>
      <c r="AR153" s="10">
        <v>3</v>
      </c>
      <c r="AS153" s="10">
        <v>1</v>
      </c>
      <c r="AT153" s="10">
        <v>2</v>
      </c>
      <c r="AU153" s="10">
        <v>4</v>
      </c>
      <c r="AV153" s="10">
        <v>0</v>
      </c>
      <c r="AW153" s="10">
        <v>1</v>
      </c>
      <c r="AX153" s="10">
        <v>2</v>
      </c>
      <c r="AY153" s="10">
        <v>0</v>
      </c>
      <c r="AZ153" s="10">
        <v>4</v>
      </c>
      <c r="BA153" s="10">
        <v>1</v>
      </c>
      <c r="BB153" s="10">
        <v>1</v>
      </c>
      <c r="BC153" s="10">
        <v>44</v>
      </c>
      <c r="BD153" s="10">
        <v>2</v>
      </c>
      <c r="BE153" s="10">
        <v>0</v>
      </c>
      <c r="BF153" s="10">
        <v>16</v>
      </c>
      <c r="BG153" s="10">
        <v>6</v>
      </c>
      <c r="BH153" s="10">
        <v>0</v>
      </c>
      <c r="BI153" s="10">
        <v>1</v>
      </c>
      <c r="BJ153" s="10">
        <v>6</v>
      </c>
      <c r="BK153" s="10">
        <v>1</v>
      </c>
      <c r="BL153" s="10">
        <v>0</v>
      </c>
      <c r="BM153" s="10">
        <v>0</v>
      </c>
      <c r="BN153" s="10">
        <v>0</v>
      </c>
      <c r="BO153" s="10">
        <v>0</v>
      </c>
      <c r="BP153" s="10">
        <v>0</v>
      </c>
      <c r="BQ153" s="10">
        <v>0</v>
      </c>
      <c r="BR153" s="10">
        <v>2</v>
      </c>
      <c r="BS153" s="10">
        <v>34</v>
      </c>
    </row>
    <row r="154" spans="1:71" x14ac:dyDescent="0.55000000000000004">
      <c r="A154" s="10">
        <v>563</v>
      </c>
      <c r="B154" s="10">
        <v>2022</v>
      </c>
      <c r="C154" s="10">
        <v>1785</v>
      </c>
      <c r="D154" s="10">
        <v>33582</v>
      </c>
      <c r="E154" s="10">
        <v>15706</v>
      </c>
      <c r="F154" s="10">
        <v>6227</v>
      </c>
      <c r="G154" s="10">
        <v>7353</v>
      </c>
      <c r="H154" s="10">
        <v>818</v>
      </c>
      <c r="I154" s="10">
        <v>14064</v>
      </c>
      <c r="J154" s="10">
        <v>0</v>
      </c>
      <c r="K154" s="10">
        <v>0</v>
      </c>
      <c r="L154" s="10">
        <v>3782</v>
      </c>
      <c r="M154" s="10">
        <v>7559</v>
      </c>
      <c r="N154" s="10">
        <v>0</v>
      </c>
      <c r="O154" s="10">
        <v>2210</v>
      </c>
      <c r="P154" s="10">
        <v>6154</v>
      </c>
      <c r="Q154" s="10">
        <v>4000</v>
      </c>
      <c r="R154" s="10">
        <v>6041</v>
      </c>
      <c r="S154" s="10">
        <v>76967</v>
      </c>
      <c r="T154" s="10">
        <v>32314</v>
      </c>
      <c r="U154" s="10">
        <v>26.203361344537814</v>
      </c>
      <c r="V154" s="10">
        <v>20.217378357453399</v>
      </c>
      <c r="W154" s="10">
        <v>30.185614849187935</v>
      </c>
      <c r="X154" s="10">
        <v>18.279001655418309</v>
      </c>
      <c r="Y154" s="10">
        <v>38.940420748353944</v>
      </c>
      <c r="Z154" s="10">
        <v>18.696450428396574</v>
      </c>
      <c r="AA154" s="10">
        <v>15.177261613691931</v>
      </c>
      <c r="AB154" s="10">
        <v>35.826720705346986</v>
      </c>
      <c r="AC154" s="10">
        <v>35.79638637943016</v>
      </c>
      <c r="AD154" s="10">
        <v>0</v>
      </c>
      <c r="AE154" s="10">
        <v>27.324167107350608</v>
      </c>
      <c r="AF154" s="10">
        <v>42.178462759624296</v>
      </c>
      <c r="AG154" s="10">
        <v>0</v>
      </c>
      <c r="AH154" s="10">
        <v>26.92579185520362</v>
      </c>
      <c r="AI154" s="10">
        <v>37.365290867728305</v>
      </c>
      <c r="AJ154" s="10">
        <v>49.442577030812323</v>
      </c>
      <c r="AK154" s="10">
        <v>28.829750000000001</v>
      </c>
      <c r="AL154" s="10">
        <v>25.61512994537328</v>
      </c>
      <c r="AM154" s="10">
        <v>0</v>
      </c>
      <c r="AN154" s="10">
        <v>2</v>
      </c>
      <c r="AO154" s="10">
        <v>2</v>
      </c>
      <c r="AP154" s="10">
        <v>8</v>
      </c>
      <c r="AQ154" s="10">
        <v>4</v>
      </c>
      <c r="AR154" s="10">
        <v>2</v>
      </c>
      <c r="AS154" s="10">
        <v>1</v>
      </c>
      <c r="AT154" s="10">
        <v>5</v>
      </c>
      <c r="AU154" s="10">
        <v>1</v>
      </c>
      <c r="AV154" s="10">
        <v>3</v>
      </c>
      <c r="AW154" s="10">
        <v>3</v>
      </c>
      <c r="AX154" s="10">
        <v>4</v>
      </c>
      <c r="AY154" s="10">
        <v>0</v>
      </c>
      <c r="AZ154" s="10">
        <v>1</v>
      </c>
      <c r="BA154" s="10">
        <v>1</v>
      </c>
      <c r="BB154" s="10">
        <v>1</v>
      </c>
      <c r="BC154" s="10">
        <v>38</v>
      </c>
      <c r="BD154" s="10">
        <v>0</v>
      </c>
      <c r="BE154" s="10">
        <v>2</v>
      </c>
      <c r="BF154" s="10">
        <v>24</v>
      </c>
      <c r="BG154" s="10">
        <v>7</v>
      </c>
      <c r="BH154" s="10">
        <v>8</v>
      </c>
      <c r="BI154" s="10">
        <v>0</v>
      </c>
      <c r="BJ154" s="10">
        <v>6</v>
      </c>
      <c r="BK154" s="10">
        <v>0</v>
      </c>
      <c r="BL154" s="10">
        <v>9</v>
      </c>
      <c r="BM154" s="10">
        <v>0</v>
      </c>
      <c r="BN154" s="10">
        <v>0</v>
      </c>
      <c r="BO154" s="10">
        <v>0</v>
      </c>
      <c r="BP154" s="10">
        <v>5</v>
      </c>
      <c r="BQ154" s="10">
        <v>0</v>
      </c>
      <c r="BR154" s="10">
        <v>2</v>
      </c>
      <c r="BS154" s="10">
        <v>63</v>
      </c>
    </row>
    <row r="155" spans="1:71" x14ac:dyDescent="0.55000000000000004">
      <c r="A155" s="10">
        <v>128</v>
      </c>
      <c r="B155" s="10">
        <v>2022</v>
      </c>
      <c r="C155" s="10">
        <v>2046</v>
      </c>
      <c r="D155" s="10">
        <v>33644</v>
      </c>
      <c r="E155" s="10">
        <v>16330</v>
      </c>
      <c r="F155" s="10">
        <v>4868</v>
      </c>
      <c r="G155" s="10">
        <v>5154</v>
      </c>
      <c r="H155" s="10">
        <v>0</v>
      </c>
      <c r="I155" s="10">
        <v>8906</v>
      </c>
      <c r="J155" s="10">
        <v>0</v>
      </c>
      <c r="K155" s="10">
        <v>0</v>
      </c>
      <c r="L155" s="10">
        <v>416</v>
      </c>
      <c r="M155" s="10">
        <v>1903</v>
      </c>
      <c r="N155" s="10">
        <v>0</v>
      </c>
      <c r="O155" s="10">
        <v>1976</v>
      </c>
      <c r="P155" s="10">
        <v>9099</v>
      </c>
      <c r="Q155" s="10">
        <v>708</v>
      </c>
      <c r="R155" s="10">
        <v>2431</v>
      </c>
      <c r="S155" s="10">
        <v>59153</v>
      </c>
      <c r="T155" s="10">
        <v>28328</v>
      </c>
      <c r="U155" s="10">
        <v>29.434017595307918</v>
      </c>
      <c r="V155" s="10">
        <v>25.261205564142195</v>
      </c>
      <c r="W155" s="10">
        <v>0</v>
      </c>
      <c r="X155" s="10">
        <v>16.389222290263319</v>
      </c>
      <c r="Y155" s="10">
        <v>38.829087921117498</v>
      </c>
      <c r="Z155" s="10">
        <v>18.258246022506789</v>
      </c>
      <c r="AA155" s="10">
        <v>0</v>
      </c>
      <c r="AB155" s="10">
        <v>30.344486862789132</v>
      </c>
      <c r="AC155" s="10">
        <v>0</v>
      </c>
      <c r="AD155" s="10">
        <v>0</v>
      </c>
      <c r="AE155" s="10">
        <v>19.055288461538463</v>
      </c>
      <c r="AF155" s="10">
        <v>51.10930110352075</v>
      </c>
      <c r="AG155" s="10">
        <v>0</v>
      </c>
      <c r="AH155" s="10">
        <v>32.712550607287447</v>
      </c>
      <c r="AI155" s="10">
        <v>39.470161556214968</v>
      </c>
      <c r="AJ155" s="10">
        <v>0</v>
      </c>
      <c r="AK155" s="10">
        <v>41.614406779661017</v>
      </c>
      <c r="AL155" s="10">
        <v>27.159605100781572</v>
      </c>
      <c r="AM155" s="10">
        <v>0</v>
      </c>
      <c r="AN155" s="10">
        <v>3</v>
      </c>
      <c r="AO155" s="10">
        <v>2</v>
      </c>
      <c r="AP155" s="10">
        <v>10</v>
      </c>
      <c r="AQ155" s="10">
        <v>5</v>
      </c>
      <c r="AR155" s="10">
        <v>2</v>
      </c>
      <c r="AS155" s="10">
        <v>0</v>
      </c>
      <c r="AT155" s="10">
        <v>6</v>
      </c>
      <c r="AU155" s="10">
        <v>1</v>
      </c>
      <c r="AV155" s="10">
        <v>0</v>
      </c>
      <c r="AW155" s="10">
        <v>1</v>
      </c>
      <c r="AX155" s="10">
        <v>1</v>
      </c>
      <c r="AY155" s="10">
        <v>0</v>
      </c>
      <c r="AZ155" s="10">
        <v>3</v>
      </c>
      <c r="BA155" s="10">
        <v>1</v>
      </c>
      <c r="BB155" s="10">
        <v>1</v>
      </c>
      <c r="BC155" s="10">
        <v>36</v>
      </c>
      <c r="BD155" s="10">
        <v>0</v>
      </c>
      <c r="BE155" s="10">
        <v>0</v>
      </c>
      <c r="BF155" s="10">
        <v>13</v>
      </c>
      <c r="BG155" s="10">
        <v>9</v>
      </c>
      <c r="BH155" s="10">
        <v>1</v>
      </c>
      <c r="BI155" s="10">
        <v>0</v>
      </c>
      <c r="BJ155" s="10">
        <v>0</v>
      </c>
      <c r="BK155" s="10">
        <v>0</v>
      </c>
      <c r="BL155" s="10">
        <v>0</v>
      </c>
      <c r="BM155" s="10">
        <v>0</v>
      </c>
      <c r="BN155" s="10">
        <v>0</v>
      </c>
      <c r="BO155" s="10">
        <v>0</v>
      </c>
      <c r="BP155" s="10">
        <v>0</v>
      </c>
      <c r="BQ155" s="10">
        <v>0</v>
      </c>
      <c r="BR155" s="10">
        <v>1</v>
      </c>
      <c r="BS155" s="10">
        <v>24</v>
      </c>
    </row>
    <row r="156" spans="1:71" x14ac:dyDescent="0.55000000000000004">
      <c r="A156" s="10">
        <v>597</v>
      </c>
      <c r="B156" s="10">
        <v>2022</v>
      </c>
      <c r="C156" s="10">
        <v>3085</v>
      </c>
      <c r="D156" s="10">
        <v>33798</v>
      </c>
      <c r="E156" s="10">
        <v>0</v>
      </c>
      <c r="F156" s="10">
        <v>4319</v>
      </c>
      <c r="G156" s="10">
        <v>3252</v>
      </c>
      <c r="H156" s="10">
        <v>0</v>
      </c>
      <c r="I156" s="10">
        <v>15244</v>
      </c>
      <c r="J156" s="10">
        <v>0</v>
      </c>
      <c r="K156" s="10">
        <v>0</v>
      </c>
      <c r="L156" s="10">
        <v>2363</v>
      </c>
      <c r="M156" s="10">
        <v>6688</v>
      </c>
      <c r="N156" s="10">
        <v>0</v>
      </c>
      <c r="O156" s="10">
        <v>2088</v>
      </c>
      <c r="P156" s="10">
        <v>4809</v>
      </c>
      <c r="Q156" s="10">
        <v>2097</v>
      </c>
      <c r="R156" s="10">
        <v>8320</v>
      </c>
      <c r="S156" s="10">
        <v>76404</v>
      </c>
      <c r="T156" s="10">
        <v>9659</v>
      </c>
      <c r="U156" s="10">
        <v>25.855429497568878</v>
      </c>
      <c r="V156" s="10">
        <v>23.113290727261969</v>
      </c>
      <c r="W156" s="10">
        <v>35</v>
      </c>
      <c r="X156" s="10">
        <v>0</v>
      </c>
      <c r="Y156" s="10">
        <v>19.938874739523037</v>
      </c>
      <c r="Z156" s="10">
        <v>19.248769987699873</v>
      </c>
      <c r="AA156" s="10">
        <v>0</v>
      </c>
      <c r="AB156" s="10">
        <v>22.409406979795328</v>
      </c>
      <c r="AC156" s="10">
        <v>50.534857142857142</v>
      </c>
      <c r="AD156" s="10">
        <v>0</v>
      </c>
      <c r="AE156" s="10">
        <v>32.932289462547608</v>
      </c>
      <c r="AF156" s="10">
        <v>49.417314593301434</v>
      </c>
      <c r="AG156" s="10">
        <v>0</v>
      </c>
      <c r="AH156" s="10">
        <v>22.32710727969349</v>
      </c>
      <c r="AI156" s="10">
        <v>54.837804117280101</v>
      </c>
      <c r="AJ156" s="10">
        <v>57.483425414364646</v>
      </c>
      <c r="AK156" s="10">
        <v>22.491654744873628</v>
      </c>
      <c r="AL156" s="10">
        <v>32.690745192307695</v>
      </c>
      <c r="AM156" s="10">
        <v>0</v>
      </c>
      <c r="AN156" s="10">
        <v>1</v>
      </c>
      <c r="AO156" s="10">
        <v>3</v>
      </c>
      <c r="AP156" s="10">
        <v>10</v>
      </c>
      <c r="AQ156" s="10">
        <v>0</v>
      </c>
      <c r="AR156" s="10">
        <v>2</v>
      </c>
      <c r="AS156" s="10">
        <v>0</v>
      </c>
      <c r="AT156" s="10">
        <v>3</v>
      </c>
      <c r="AU156" s="10">
        <v>2</v>
      </c>
      <c r="AV156" s="10">
        <v>0</v>
      </c>
      <c r="AW156" s="10">
        <v>2</v>
      </c>
      <c r="AX156" s="10">
        <v>5</v>
      </c>
      <c r="AY156" s="10">
        <v>0</v>
      </c>
      <c r="AZ156" s="10">
        <v>2</v>
      </c>
      <c r="BA156" s="10">
        <v>2</v>
      </c>
      <c r="BB156" s="10">
        <v>2</v>
      </c>
      <c r="BC156" s="10">
        <v>34</v>
      </c>
      <c r="BD156" s="10">
        <v>3</v>
      </c>
      <c r="BE156" s="10">
        <v>0</v>
      </c>
      <c r="BF156" s="10">
        <v>6</v>
      </c>
      <c r="BG156" s="10">
        <v>0</v>
      </c>
      <c r="BH156" s="10">
        <v>1</v>
      </c>
      <c r="BI156" s="10">
        <v>0</v>
      </c>
      <c r="BJ156" s="10">
        <v>0</v>
      </c>
      <c r="BK156" s="10">
        <v>0</v>
      </c>
      <c r="BL156" s="10">
        <v>0</v>
      </c>
      <c r="BM156" s="10">
        <v>0</v>
      </c>
      <c r="BN156" s="10">
        <v>0</v>
      </c>
      <c r="BO156" s="10">
        <v>0</v>
      </c>
      <c r="BP156" s="10">
        <v>1</v>
      </c>
      <c r="BQ156" s="10">
        <v>0</v>
      </c>
      <c r="BR156" s="10">
        <v>0</v>
      </c>
      <c r="BS156" s="10">
        <v>11</v>
      </c>
    </row>
    <row r="157" spans="1:71" x14ac:dyDescent="0.55000000000000004">
      <c r="A157" s="10">
        <v>818</v>
      </c>
      <c r="B157" s="10">
        <v>2022</v>
      </c>
      <c r="C157" s="10">
        <v>13617</v>
      </c>
      <c r="D157" s="10">
        <v>33948</v>
      </c>
      <c r="E157" s="10">
        <v>14099</v>
      </c>
      <c r="F157" s="10">
        <v>9659</v>
      </c>
      <c r="G157" s="10">
        <v>12142</v>
      </c>
      <c r="H157" s="10">
        <v>2155</v>
      </c>
      <c r="I157" s="10">
        <v>15019</v>
      </c>
      <c r="J157" s="10">
        <v>0</v>
      </c>
      <c r="K157" s="10">
        <v>0</v>
      </c>
      <c r="L157" s="10">
        <v>6600</v>
      </c>
      <c r="M157" s="10">
        <v>4301</v>
      </c>
      <c r="N157" s="10">
        <v>1040</v>
      </c>
      <c r="O157" s="10">
        <v>8082</v>
      </c>
      <c r="P157" s="10">
        <v>14005</v>
      </c>
      <c r="Q157" s="10">
        <v>2160</v>
      </c>
      <c r="R157" s="10">
        <v>4785</v>
      </c>
      <c r="S157" s="10">
        <v>95475</v>
      </c>
      <c r="T157" s="10">
        <v>46137</v>
      </c>
      <c r="U157" s="10">
        <v>21.700447969449954</v>
      </c>
      <c r="V157" s="10">
        <v>20.948156003299161</v>
      </c>
      <c r="W157" s="10">
        <v>37.36942242355606</v>
      </c>
      <c r="X157" s="10">
        <v>19.612454784027236</v>
      </c>
      <c r="Y157" s="10">
        <v>33.861165752148253</v>
      </c>
      <c r="Z157" s="10">
        <v>18.939219239005105</v>
      </c>
      <c r="AA157" s="10">
        <v>18.74477958236659</v>
      </c>
      <c r="AB157" s="10">
        <v>31.408882082695254</v>
      </c>
      <c r="AC157" s="10">
        <v>54.83523573200992</v>
      </c>
      <c r="AD157" s="10">
        <v>0</v>
      </c>
      <c r="AE157" s="10">
        <v>22.045303030303028</v>
      </c>
      <c r="AF157" s="10">
        <v>42.391304347826086</v>
      </c>
      <c r="AG157" s="10">
        <v>30.311538461538461</v>
      </c>
      <c r="AH157" s="10">
        <v>26.796337540212818</v>
      </c>
      <c r="AI157" s="10">
        <v>35.687968582649049</v>
      </c>
      <c r="AJ157" s="10">
        <v>60.142857142857146</v>
      </c>
      <c r="AK157" s="10">
        <v>28.045370370370371</v>
      </c>
      <c r="AL157" s="10">
        <v>23.739811912225704</v>
      </c>
      <c r="AM157" s="10">
        <v>41.459102902374667</v>
      </c>
      <c r="AN157" s="10">
        <v>3</v>
      </c>
      <c r="AO157" s="10">
        <v>4</v>
      </c>
      <c r="AP157" s="10">
        <v>11</v>
      </c>
      <c r="AQ157" s="10">
        <v>7</v>
      </c>
      <c r="AR157" s="10">
        <v>5</v>
      </c>
      <c r="AS157" s="10">
        <v>1</v>
      </c>
      <c r="AT157" s="10">
        <v>8</v>
      </c>
      <c r="AU157" s="10">
        <v>3</v>
      </c>
      <c r="AV157" s="10">
        <v>0</v>
      </c>
      <c r="AW157" s="10">
        <v>4</v>
      </c>
      <c r="AX157" s="10">
        <v>2</v>
      </c>
      <c r="AY157" s="10">
        <v>0</v>
      </c>
      <c r="AZ157" s="10">
        <v>5</v>
      </c>
      <c r="BA157" s="10">
        <v>1</v>
      </c>
      <c r="BB157" s="10">
        <v>3</v>
      </c>
      <c r="BC157" s="10">
        <v>57</v>
      </c>
      <c r="BD157" s="10">
        <v>6</v>
      </c>
      <c r="BE157" s="10">
        <v>0</v>
      </c>
      <c r="BF157" s="10">
        <v>10</v>
      </c>
      <c r="BG157" s="10">
        <v>9</v>
      </c>
      <c r="BH157" s="10">
        <v>4</v>
      </c>
      <c r="BI157" s="10">
        <v>0</v>
      </c>
      <c r="BJ157" s="10">
        <v>2</v>
      </c>
      <c r="BK157" s="10">
        <v>0</v>
      </c>
      <c r="BL157" s="10">
        <v>0</v>
      </c>
      <c r="BM157" s="10">
        <v>0</v>
      </c>
      <c r="BN157" s="10">
        <v>0</v>
      </c>
      <c r="BO157" s="10">
        <v>1</v>
      </c>
      <c r="BP157" s="10">
        <v>0</v>
      </c>
      <c r="BQ157" s="10">
        <v>0</v>
      </c>
      <c r="BR157" s="10">
        <v>0</v>
      </c>
      <c r="BS157" s="10">
        <v>32</v>
      </c>
    </row>
    <row r="158" spans="1:71" x14ac:dyDescent="0.55000000000000004">
      <c r="A158" s="10">
        <v>274</v>
      </c>
      <c r="B158" s="10">
        <v>2022</v>
      </c>
      <c r="C158" s="10">
        <v>3235</v>
      </c>
      <c r="D158" s="10">
        <v>34004</v>
      </c>
      <c r="E158" s="10">
        <v>1</v>
      </c>
      <c r="F158" s="10">
        <v>0</v>
      </c>
      <c r="G158" s="10">
        <v>0</v>
      </c>
      <c r="H158" s="10">
        <v>0</v>
      </c>
      <c r="I158" s="10">
        <v>12849</v>
      </c>
      <c r="J158" s="10">
        <v>0</v>
      </c>
      <c r="K158" s="10">
        <v>0</v>
      </c>
      <c r="L158" s="10">
        <v>1815</v>
      </c>
      <c r="M158" s="10">
        <v>6937</v>
      </c>
      <c r="N158" s="10">
        <v>167</v>
      </c>
      <c r="O158" s="10">
        <v>0</v>
      </c>
      <c r="P158" s="10">
        <v>3996</v>
      </c>
      <c r="Q158" s="10">
        <v>2338</v>
      </c>
      <c r="R158" s="10">
        <v>5162</v>
      </c>
      <c r="S158" s="10">
        <v>70503</v>
      </c>
      <c r="T158" s="10">
        <v>1</v>
      </c>
      <c r="U158" s="10">
        <v>22.453168469860895</v>
      </c>
      <c r="V158" s="10">
        <v>23.774497117986119</v>
      </c>
      <c r="W158" s="10">
        <v>56.20754716981132</v>
      </c>
      <c r="X158" s="10">
        <v>0</v>
      </c>
      <c r="Y158" s="10">
        <v>0</v>
      </c>
      <c r="Z158" s="10">
        <v>0</v>
      </c>
      <c r="AA158" s="10">
        <v>0</v>
      </c>
      <c r="AB158" s="10">
        <v>30.176667444937351</v>
      </c>
      <c r="AC158" s="10">
        <v>0</v>
      </c>
      <c r="AD158" s="10">
        <v>0</v>
      </c>
      <c r="AE158" s="10">
        <v>20.689807162534436</v>
      </c>
      <c r="AF158" s="10">
        <v>53.271587141415594</v>
      </c>
      <c r="AG158" s="10">
        <v>16.227544910179642</v>
      </c>
      <c r="AH158" s="10">
        <v>0</v>
      </c>
      <c r="AI158" s="10">
        <v>51.039039039039039</v>
      </c>
      <c r="AJ158" s="10">
        <v>103.05317769130998</v>
      </c>
      <c r="AK158" s="10">
        <v>34.844311377245511</v>
      </c>
      <c r="AL158" s="10">
        <v>25.807438977140642</v>
      </c>
      <c r="AM158" s="10">
        <v>0</v>
      </c>
      <c r="AN158" s="10">
        <v>2</v>
      </c>
      <c r="AO158" s="10">
        <v>41</v>
      </c>
      <c r="AP158" s="10">
        <v>13</v>
      </c>
      <c r="AQ158" s="10">
        <v>18</v>
      </c>
      <c r="AR158" s="10">
        <v>11</v>
      </c>
      <c r="AS158" s="10">
        <v>3</v>
      </c>
      <c r="AT158" s="10">
        <v>9</v>
      </c>
      <c r="AU158" s="10">
        <v>5</v>
      </c>
      <c r="AV158" s="10">
        <v>0</v>
      </c>
      <c r="AW158" s="10">
        <v>1</v>
      </c>
      <c r="AX158" s="10">
        <v>5</v>
      </c>
      <c r="AY158" s="10">
        <v>0</v>
      </c>
      <c r="AZ158" s="10">
        <v>1</v>
      </c>
      <c r="BA158" s="10">
        <v>2</v>
      </c>
      <c r="BB158" s="10">
        <v>2</v>
      </c>
      <c r="BC158" s="10">
        <v>113</v>
      </c>
      <c r="BD158" s="10">
        <v>0</v>
      </c>
      <c r="BE158" s="10">
        <v>3</v>
      </c>
      <c r="BF158" s="10">
        <v>7</v>
      </c>
      <c r="BG158" s="10">
        <v>14</v>
      </c>
      <c r="BH158" s="10">
        <v>9</v>
      </c>
      <c r="BI158" s="10">
        <v>1</v>
      </c>
      <c r="BJ158" s="10">
        <v>3</v>
      </c>
      <c r="BK158" s="10">
        <v>1</v>
      </c>
      <c r="BL158" s="10">
        <v>0</v>
      </c>
      <c r="BM158" s="10">
        <v>0</v>
      </c>
      <c r="BN158" s="10">
        <v>2</v>
      </c>
      <c r="BO158" s="10">
        <v>0</v>
      </c>
      <c r="BP158" s="10">
        <v>2</v>
      </c>
      <c r="BQ158" s="10">
        <v>2</v>
      </c>
      <c r="BR158" s="10">
        <v>0</v>
      </c>
      <c r="BS158" s="10">
        <v>44</v>
      </c>
    </row>
    <row r="159" spans="1:71" x14ac:dyDescent="0.55000000000000004">
      <c r="A159" s="10">
        <v>688</v>
      </c>
      <c r="B159" s="10">
        <v>2022</v>
      </c>
      <c r="C159" s="10">
        <v>4452</v>
      </c>
      <c r="D159" s="10">
        <v>34143</v>
      </c>
      <c r="E159" s="10">
        <v>17006</v>
      </c>
      <c r="F159" s="10">
        <v>5061</v>
      </c>
      <c r="G159" s="10">
        <v>17361</v>
      </c>
      <c r="H159" s="10">
        <v>1348</v>
      </c>
      <c r="I159" s="10">
        <v>4730</v>
      </c>
      <c r="J159" s="10">
        <v>0</v>
      </c>
      <c r="K159" s="10">
        <v>0</v>
      </c>
      <c r="L159" s="10">
        <v>4360</v>
      </c>
      <c r="M159" s="10">
        <v>10387</v>
      </c>
      <c r="N159" s="10">
        <v>0</v>
      </c>
      <c r="O159" s="10">
        <v>1807</v>
      </c>
      <c r="P159" s="10">
        <v>8101</v>
      </c>
      <c r="Q159" s="10">
        <v>4306</v>
      </c>
      <c r="R159" s="10">
        <v>12558</v>
      </c>
      <c r="S159" s="10">
        <v>83037</v>
      </c>
      <c r="T159" s="10">
        <v>42583</v>
      </c>
      <c r="U159" s="10">
        <v>15.724842767295597</v>
      </c>
      <c r="V159" s="10">
        <v>22.994493746888086</v>
      </c>
      <c r="W159" s="10">
        <v>42.052861791219925</v>
      </c>
      <c r="X159" s="10">
        <v>20.826473009526048</v>
      </c>
      <c r="Y159" s="10">
        <v>34.19047619047619</v>
      </c>
      <c r="Z159" s="10">
        <v>20.255918437878002</v>
      </c>
      <c r="AA159" s="10">
        <v>17.970326409495549</v>
      </c>
      <c r="AB159" s="10">
        <v>33.130655391120506</v>
      </c>
      <c r="AC159" s="10">
        <v>53.457810471657297</v>
      </c>
      <c r="AD159" s="10">
        <v>0</v>
      </c>
      <c r="AE159" s="10">
        <v>25.131880733944953</v>
      </c>
      <c r="AF159" s="10">
        <v>31.773755656108598</v>
      </c>
      <c r="AG159" s="10">
        <v>0</v>
      </c>
      <c r="AH159" s="10">
        <v>19.064748201438849</v>
      </c>
      <c r="AI159" s="10">
        <v>59.860264164917915</v>
      </c>
      <c r="AJ159" s="10">
        <v>78.725357710651835</v>
      </c>
      <c r="AK159" s="10">
        <v>32.001625638643752</v>
      </c>
      <c r="AL159" s="10">
        <v>25.841774167861125</v>
      </c>
      <c r="AM159" s="10">
        <v>46.055555555555557</v>
      </c>
      <c r="AN159" s="10">
        <v>3</v>
      </c>
      <c r="AO159" s="10">
        <v>4</v>
      </c>
      <c r="AP159" s="10">
        <v>16</v>
      </c>
      <c r="AQ159" s="10">
        <v>10</v>
      </c>
      <c r="AR159" s="10">
        <v>11</v>
      </c>
      <c r="AS159" s="10">
        <v>1</v>
      </c>
      <c r="AT159" s="10">
        <v>2</v>
      </c>
      <c r="AU159" s="10">
        <v>2</v>
      </c>
      <c r="AV159" s="10">
        <v>0</v>
      </c>
      <c r="AW159" s="10">
        <v>1</v>
      </c>
      <c r="AX159" s="10">
        <v>10</v>
      </c>
      <c r="AY159" s="10">
        <v>0</v>
      </c>
      <c r="AZ159" s="10">
        <v>7</v>
      </c>
      <c r="BA159" s="10">
        <v>2</v>
      </c>
      <c r="BB159" s="10">
        <v>8</v>
      </c>
      <c r="BC159" s="10">
        <v>77</v>
      </c>
      <c r="BD159" s="10">
        <v>0</v>
      </c>
      <c r="BE159" s="10">
        <v>0</v>
      </c>
      <c r="BF159" s="10">
        <v>11</v>
      </c>
      <c r="BG159" s="10">
        <v>4</v>
      </c>
      <c r="BH159" s="10">
        <v>1</v>
      </c>
      <c r="BI159" s="10">
        <v>0</v>
      </c>
      <c r="BJ159" s="10">
        <v>1</v>
      </c>
      <c r="BK159" s="10">
        <v>0</v>
      </c>
      <c r="BL159" s="10">
        <v>0</v>
      </c>
      <c r="BM159" s="10">
        <v>0</v>
      </c>
      <c r="BN159" s="10">
        <v>0</v>
      </c>
      <c r="BO159" s="10">
        <v>0</v>
      </c>
      <c r="BP159" s="10">
        <v>3</v>
      </c>
      <c r="BQ159" s="10">
        <v>0</v>
      </c>
      <c r="BR159" s="10">
        <v>1</v>
      </c>
      <c r="BS159" s="10">
        <v>21</v>
      </c>
    </row>
    <row r="160" spans="1:71" x14ac:dyDescent="0.55000000000000004">
      <c r="A160" s="10">
        <v>278</v>
      </c>
      <c r="B160" s="10">
        <v>2022</v>
      </c>
      <c r="C160" s="10">
        <v>2609</v>
      </c>
      <c r="D160" s="10">
        <v>34346</v>
      </c>
      <c r="E160" s="10">
        <v>7605</v>
      </c>
      <c r="F160" s="10">
        <v>4241</v>
      </c>
      <c r="G160" s="10">
        <v>2566</v>
      </c>
      <c r="H160" s="10">
        <v>1707</v>
      </c>
      <c r="I160" s="10">
        <v>2942</v>
      </c>
      <c r="J160" s="10">
        <v>0</v>
      </c>
      <c r="K160" s="10">
        <v>0</v>
      </c>
      <c r="L160" s="10">
        <v>0</v>
      </c>
      <c r="M160" s="10">
        <v>3697</v>
      </c>
      <c r="N160" s="10">
        <v>0</v>
      </c>
      <c r="O160" s="10">
        <v>1993</v>
      </c>
      <c r="P160" s="10">
        <v>8736</v>
      </c>
      <c r="Q160" s="10">
        <v>2010</v>
      </c>
      <c r="R160" s="10">
        <v>4096</v>
      </c>
      <c r="S160" s="10">
        <v>58436</v>
      </c>
      <c r="T160" s="10">
        <v>18112</v>
      </c>
      <c r="U160" s="10">
        <v>21.41816788041395</v>
      </c>
      <c r="V160" s="10">
        <v>17.301956559715833</v>
      </c>
      <c r="W160" s="10">
        <v>0</v>
      </c>
      <c r="X160" s="10">
        <v>16.733070348454962</v>
      </c>
      <c r="Y160" s="10">
        <v>39.103749115774576</v>
      </c>
      <c r="Z160" s="10">
        <v>16.863600935307872</v>
      </c>
      <c r="AA160" s="10">
        <v>21.219097832454601</v>
      </c>
      <c r="AB160" s="10">
        <v>25.535350101971449</v>
      </c>
      <c r="AC160" s="10">
        <v>0</v>
      </c>
      <c r="AD160" s="10">
        <v>0</v>
      </c>
      <c r="AE160" s="10">
        <v>0</v>
      </c>
      <c r="AF160" s="10">
        <v>46.005950770895318</v>
      </c>
      <c r="AG160" s="10">
        <v>0</v>
      </c>
      <c r="AH160" s="10">
        <v>21.884596086302054</v>
      </c>
      <c r="AI160" s="10">
        <v>37.171703296703299</v>
      </c>
      <c r="AJ160" s="10">
        <v>0</v>
      </c>
      <c r="AK160" s="10">
        <v>29.812437810945269</v>
      </c>
      <c r="AL160" s="10">
        <v>21.066162109375</v>
      </c>
      <c r="AM160" s="10">
        <v>0</v>
      </c>
      <c r="AN160" s="10">
        <v>1</v>
      </c>
      <c r="AO160" s="10">
        <v>2</v>
      </c>
      <c r="AP160" s="10">
        <v>13</v>
      </c>
      <c r="AQ160" s="10">
        <v>4</v>
      </c>
      <c r="AR160" s="10">
        <v>0</v>
      </c>
      <c r="AS160" s="10">
        <v>1</v>
      </c>
      <c r="AT160" s="10">
        <v>1</v>
      </c>
      <c r="AU160" s="10">
        <v>1</v>
      </c>
      <c r="AV160" s="10">
        <v>0</v>
      </c>
      <c r="AW160" s="10">
        <v>0</v>
      </c>
      <c r="AX160" s="10">
        <v>2</v>
      </c>
      <c r="AY160" s="10">
        <v>0</v>
      </c>
      <c r="AZ160" s="10">
        <v>2</v>
      </c>
      <c r="BA160" s="10">
        <v>1</v>
      </c>
      <c r="BB160" s="10">
        <v>2</v>
      </c>
      <c r="BC160" s="10">
        <v>30</v>
      </c>
      <c r="BD160" s="10">
        <v>0</v>
      </c>
      <c r="BE160" s="10">
        <v>0</v>
      </c>
      <c r="BF160" s="10">
        <v>0</v>
      </c>
      <c r="BG160" s="10">
        <v>3</v>
      </c>
      <c r="BH160" s="10">
        <v>1</v>
      </c>
      <c r="BI160" s="10">
        <v>0</v>
      </c>
      <c r="BJ160" s="10">
        <v>2</v>
      </c>
      <c r="BK160" s="10">
        <v>0</v>
      </c>
      <c r="BL160" s="10">
        <v>0</v>
      </c>
      <c r="BM160" s="10">
        <v>0</v>
      </c>
      <c r="BN160" s="10">
        <v>0</v>
      </c>
      <c r="BO160" s="10">
        <v>0</v>
      </c>
      <c r="BP160" s="10">
        <v>0</v>
      </c>
      <c r="BQ160" s="10">
        <v>0</v>
      </c>
      <c r="BR160" s="10">
        <v>0</v>
      </c>
      <c r="BS160" s="10">
        <v>6</v>
      </c>
    </row>
    <row r="161" spans="1:71" x14ac:dyDescent="0.55000000000000004">
      <c r="A161" s="10">
        <v>295</v>
      </c>
      <c r="B161" s="10">
        <v>2022</v>
      </c>
      <c r="C161" s="10">
        <v>6491</v>
      </c>
      <c r="D161" s="10">
        <v>34713</v>
      </c>
      <c r="E161" s="10">
        <v>15813</v>
      </c>
      <c r="F161" s="10">
        <v>4988</v>
      </c>
      <c r="G161" s="10">
        <v>3165</v>
      </c>
      <c r="H161" s="10">
        <v>2784</v>
      </c>
      <c r="I161" s="10">
        <v>6796</v>
      </c>
      <c r="J161" s="10">
        <v>8</v>
      </c>
      <c r="K161" s="10">
        <v>0</v>
      </c>
      <c r="L161" s="10">
        <v>3343</v>
      </c>
      <c r="M161" s="10">
        <v>8131</v>
      </c>
      <c r="N161" s="10">
        <v>0</v>
      </c>
      <c r="O161" s="10">
        <v>3258</v>
      </c>
      <c r="P161" s="10">
        <v>7957</v>
      </c>
      <c r="Q161" s="10">
        <v>968</v>
      </c>
      <c r="R161" s="10">
        <v>2919</v>
      </c>
      <c r="S161" s="10">
        <v>71326</v>
      </c>
      <c r="T161" s="10">
        <v>30008</v>
      </c>
      <c r="U161" s="10">
        <v>20.172546602988753</v>
      </c>
      <c r="V161" s="10">
        <v>25.027136807536081</v>
      </c>
      <c r="W161" s="10">
        <v>37.056191467221645</v>
      </c>
      <c r="X161" s="10">
        <v>13.75172326566749</v>
      </c>
      <c r="Y161" s="10">
        <v>32.257618283881314</v>
      </c>
      <c r="Z161" s="10">
        <v>16.267614533965244</v>
      </c>
      <c r="AA161" s="10">
        <v>16.848060344827587</v>
      </c>
      <c r="AB161" s="10">
        <v>34.912742789876397</v>
      </c>
      <c r="AC161" s="10">
        <v>58.472948328267478</v>
      </c>
      <c r="AD161" s="10">
        <v>0</v>
      </c>
      <c r="AE161" s="10">
        <v>17.09602153754113</v>
      </c>
      <c r="AF161" s="10">
        <v>41.542491698438077</v>
      </c>
      <c r="AG161" s="10">
        <v>0</v>
      </c>
      <c r="AH161" s="10">
        <v>25.861264579496627</v>
      </c>
      <c r="AI161" s="10">
        <v>45.68304637426165</v>
      </c>
      <c r="AJ161" s="10">
        <v>71.053571428571431</v>
      </c>
      <c r="AK161" s="10">
        <v>25.408057851239668</v>
      </c>
      <c r="AL161" s="10">
        <v>32.570400822199382</v>
      </c>
      <c r="AM161" s="10">
        <v>43.823529411764703</v>
      </c>
      <c r="AN161" s="10">
        <v>3</v>
      </c>
      <c r="AO161" s="10">
        <v>2</v>
      </c>
      <c r="AP161" s="10">
        <v>11</v>
      </c>
      <c r="AQ161" s="10">
        <v>6</v>
      </c>
      <c r="AR161" s="10">
        <v>1</v>
      </c>
      <c r="AS161" s="10">
        <v>1</v>
      </c>
      <c r="AT161" s="10">
        <v>3</v>
      </c>
      <c r="AU161" s="10">
        <v>2</v>
      </c>
      <c r="AV161" s="10">
        <v>0</v>
      </c>
      <c r="AW161" s="10">
        <v>2</v>
      </c>
      <c r="AX161" s="10">
        <v>4</v>
      </c>
      <c r="AY161" s="10">
        <v>0</v>
      </c>
      <c r="AZ161" s="10">
        <v>1</v>
      </c>
      <c r="BA161" s="10">
        <v>0</v>
      </c>
      <c r="BB161" s="10">
        <v>0</v>
      </c>
      <c r="BC161" s="10">
        <v>36</v>
      </c>
      <c r="BD161" s="10">
        <v>1</v>
      </c>
      <c r="BE161" s="10">
        <v>0</v>
      </c>
      <c r="BF161" s="10">
        <v>6</v>
      </c>
      <c r="BG161" s="10">
        <v>3</v>
      </c>
      <c r="BH161" s="10">
        <v>1</v>
      </c>
      <c r="BI161" s="10">
        <v>0</v>
      </c>
      <c r="BJ161" s="10">
        <v>2</v>
      </c>
      <c r="BK161" s="10">
        <v>0</v>
      </c>
      <c r="BL161" s="10">
        <v>0</v>
      </c>
      <c r="BM161" s="10">
        <v>0</v>
      </c>
      <c r="BN161" s="10">
        <v>0</v>
      </c>
      <c r="BO161" s="10">
        <v>0</v>
      </c>
      <c r="BP161" s="10">
        <v>5</v>
      </c>
      <c r="BQ161" s="10">
        <v>0</v>
      </c>
      <c r="BR161" s="10">
        <v>0</v>
      </c>
      <c r="BS161" s="10">
        <v>18</v>
      </c>
    </row>
    <row r="162" spans="1:71" x14ac:dyDescent="0.55000000000000004">
      <c r="A162" s="10">
        <v>905</v>
      </c>
      <c r="B162" s="10">
        <v>2022</v>
      </c>
      <c r="C162" s="10">
        <v>6514</v>
      </c>
      <c r="D162" s="10">
        <v>34767</v>
      </c>
      <c r="E162" s="10">
        <v>15080</v>
      </c>
      <c r="F162" s="10">
        <v>6322</v>
      </c>
      <c r="G162" s="10">
        <v>6852</v>
      </c>
      <c r="H162" s="10">
        <v>4945</v>
      </c>
      <c r="I162" s="10">
        <v>13262</v>
      </c>
      <c r="J162" s="10">
        <v>0</v>
      </c>
      <c r="K162" s="10">
        <v>0</v>
      </c>
      <c r="L162" s="10">
        <v>1740</v>
      </c>
      <c r="M162" s="10">
        <v>3562</v>
      </c>
      <c r="N162" s="10">
        <v>0</v>
      </c>
      <c r="O162" s="10">
        <v>4416</v>
      </c>
      <c r="P162" s="10">
        <v>8282</v>
      </c>
      <c r="Q162" s="10">
        <v>1983</v>
      </c>
      <c r="R162" s="10">
        <v>5344</v>
      </c>
      <c r="S162" s="10">
        <v>75454</v>
      </c>
      <c r="T162" s="10">
        <v>37615</v>
      </c>
      <c r="U162" s="10">
        <v>15.442278170095181</v>
      </c>
      <c r="V162" s="10">
        <v>23.0482929214485</v>
      </c>
      <c r="W162" s="10">
        <v>0</v>
      </c>
      <c r="X162" s="10">
        <v>20.730901856763925</v>
      </c>
      <c r="Y162" s="10">
        <v>37.255615311610249</v>
      </c>
      <c r="Z162" s="10">
        <v>16.632661996497372</v>
      </c>
      <c r="AA162" s="10">
        <v>16.624873609706775</v>
      </c>
      <c r="AB162" s="10">
        <v>27.742044940431306</v>
      </c>
      <c r="AC162" s="10">
        <v>0</v>
      </c>
      <c r="AD162" s="10">
        <v>0</v>
      </c>
      <c r="AE162" s="10">
        <v>0</v>
      </c>
      <c r="AF162" s="10">
        <v>44.240033688938794</v>
      </c>
      <c r="AG162" s="10">
        <v>0</v>
      </c>
      <c r="AH162" s="10">
        <v>30.657382246376812</v>
      </c>
      <c r="AI162" s="10">
        <v>33.706230379135476</v>
      </c>
      <c r="AJ162" s="10">
        <v>0</v>
      </c>
      <c r="AK162" s="10">
        <v>29.060514372163389</v>
      </c>
      <c r="AL162" s="10">
        <v>26.153068862275447</v>
      </c>
      <c r="AM162" s="10">
        <v>0</v>
      </c>
      <c r="AN162" s="10">
        <v>3</v>
      </c>
      <c r="AO162" s="10">
        <v>3</v>
      </c>
      <c r="AP162" s="10">
        <v>16</v>
      </c>
      <c r="AQ162" s="10">
        <v>6</v>
      </c>
      <c r="AR162" s="10">
        <v>4</v>
      </c>
      <c r="AS162" s="10">
        <v>4</v>
      </c>
      <c r="AT162" s="10">
        <v>6</v>
      </c>
      <c r="AU162" s="10">
        <v>2</v>
      </c>
      <c r="AV162" s="10">
        <v>0</v>
      </c>
      <c r="AW162" s="10">
        <v>1</v>
      </c>
      <c r="AX162" s="10">
        <v>3</v>
      </c>
      <c r="AY162" s="10">
        <v>0</v>
      </c>
      <c r="AZ162" s="10">
        <v>5</v>
      </c>
      <c r="BA162" s="10">
        <v>1</v>
      </c>
      <c r="BB162" s="10">
        <v>3</v>
      </c>
      <c r="BC162" s="10">
        <v>57</v>
      </c>
      <c r="BD162" s="10">
        <v>3</v>
      </c>
      <c r="BE162" s="10">
        <v>0</v>
      </c>
      <c r="BF162" s="10">
        <v>9</v>
      </c>
      <c r="BG162" s="10">
        <v>6</v>
      </c>
      <c r="BH162" s="10">
        <v>1</v>
      </c>
      <c r="BI162" s="10">
        <v>0</v>
      </c>
      <c r="BJ162" s="10">
        <v>0</v>
      </c>
      <c r="BK162" s="10">
        <v>0</v>
      </c>
      <c r="BL162" s="10">
        <v>0</v>
      </c>
      <c r="BM162" s="10">
        <v>0</v>
      </c>
      <c r="BN162" s="10">
        <v>1</v>
      </c>
      <c r="BO162" s="10">
        <v>0</v>
      </c>
      <c r="BP162" s="10">
        <v>2</v>
      </c>
      <c r="BQ162" s="10">
        <v>0</v>
      </c>
      <c r="BR162" s="10">
        <v>0</v>
      </c>
      <c r="BS162" s="10">
        <v>22</v>
      </c>
    </row>
    <row r="163" spans="1:71" x14ac:dyDescent="0.55000000000000004">
      <c r="A163" s="10">
        <v>584</v>
      </c>
      <c r="B163" s="10">
        <v>2022</v>
      </c>
      <c r="C163" s="10">
        <v>4117</v>
      </c>
      <c r="D163" s="10">
        <v>34852</v>
      </c>
      <c r="E163" s="10">
        <v>19432</v>
      </c>
      <c r="F163" s="10">
        <v>15210</v>
      </c>
      <c r="G163" s="10">
        <v>0</v>
      </c>
      <c r="H163" s="10">
        <v>0</v>
      </c>
      <c r="I163" s="10">
        <v>27561</v>
      </c>
      <c r="J163" s="10">
        <v>500</v>
      </c>
      <c r="K163" s="10">
        <v>0</v>
      </c>
      <c r="L163" s="10">
        <v>6516</v>
      </c>
      <c r="M163" s="10">
        <v>10539</v>
      </c>
      <c r="N163" s="10">
        <v>0</v>
      </c>
      <c r="O163" s="10">
        <v>3004</v>
      </c>
      <c r="P163" s="10">
        <v>13608</v>
      </c>
      <c r="Q163" s="10">
        <v>2838</v>
      </c>
      <c r="R163" s="10">
        <v>0</v>
      </c>
      <c r="S163" s="10">
        <v>100531</v>
      </c>
      <c r="T163" s="10">
        <v>37646</v>
      </c>
      <c r="U163" s="10">
        <v>18.006801068739374</v>
      </c>
      <c r="V163" s="10">
        <v>22.700017215654771</v>
      </c>
      <c r="W163" s="10">
        <v>33.061718040120219</v>
      </c>
      <c r="X163" s="10">
        <v>19.217888019761219</v>
      </c>
      <c r="Y163" s="10">
        <v>28.519329388560156</v>
      </c>
      <c r="Z163" s="10">
        <v>0</v>
      </c>
      <c r="AA163" s="10">
        <v>0</v>
      </c>
      <c r="AB163" s="10">
        <v>38.687674612677334</v>
      </c>
      <c r="AC163" s="10">
        <v>50.360326894502229</v>
      </c>
      <c r="AD163" s="10">
        <v>0</v>
      </c>
      <c r="AE163" s="10">
        <v>22.180018416206259</v>
      </c>
      <c r="AF163" s="10">
        <v>53.116709365214916</v>
      </c>
      <c r="AG163" s="10">
        <v>0</v>
      </c>
      <c r="AH163" s="10">
        <v>32.246671105193073</v>
      </c>
      <c r="AI163" s="10">
        <v>42.917842445620224</v>
      </c>
      <c r="AJ163" s="10">
        <v>61.820193637621024</v>
      </c>
      <c r="AK163" s="10">
        <v>30.627202255109228</v>
      </c>
      <c r="AL163" s="10">
        <v>0</v>
      </c>
      <c r="AM163" s="10">
        <v>35.831618334892426</v>
      </c>
      <c r="AN163" s="10">
        <v>2</v>
      </c>
      <c r="AO163" s="10">
        <v>7</v>
      </c>
      <c r="AP163" s="10">
        <v>13</v>
      </c>
      <c r="AQ163" s="10">
        <v>3</v>
      </c>
      <c r="AR163" s="10">
        <v>0</v>
      </c>
      <c r="AS163" s="10">
        <v>0</v>
      </c>
      <c r="AT163" s="10">
        <v>9</v>
      </c>
      <c r="AU163" s="10">
        <v>1</v>
      </c>
      <c r="AV163" s="10">
        <v>0</v>
      </c>
      <c r="AW163" s="10">
        <v>3</v>
      </c>
      <c r="AX163" s="10">
        <v>2</v>
      </c>
      <c r="AY163" s="10">
        <v>0</v>
      </c>
      <c r="AZ163" s="10">
        <v>6</v>
      </c>
      <c r="BA163" s="10">
        <v>1</v>
      </c>
      <c r="BB163" s="10">
        <v>0</v>
      </c>
      <c r="BC163" s="10">
        <v>47</v>
      </c>
      <c r="BD163" s="10">
        <v>0</v>
      </c>
      <c r="BE163" s="10">
        <v>2</v>
      </c>
      <c r="BF163" s="10">
        <v>1</v>
      </c>
      <c r="BG163" s="10">
        <v>6</v>
      </c>
      <c r="BH163" s="10">
        <v>0</v>
      </c>
      <c r="BI163" s="10">
        <v>0</v>
      </c>
      <c r="BJ163" s="10">
        <v>0</v>
      </c>
      <c r="BK163" s="10">
        <v>0</v>
      </c>
      <c r="BL163" s="10">
        <v>0</v>
      </c>
      <c r="BM163" s="10">
        <v>0</v>
      </c>
      <c r="BN163" s="10">
        <v>0</v>
      </c>
      <c r="BO163" s="10">
        <v>0</v>
      </c>
      <c r="BP163" s="10">
        <v>0</v>
      </c>
      <c r="BQ163" s="10">
        <v>0</v>
      </c>
      <c r="BR163" s="10">
        <v>0</v>
      </c>
      <c r="BS163" s="10">
        <v>9</v>
      </c>
    </row>
    <row r="164" spans="1:71" x14ac:dyDescent="0.55000000000000004">
      <c r="A164" s="10">
        <v>708</v>
      </c>
      <c r="B164" s="10">
        <v>2022</v>
      </c>
      <c r="C164" s="10">
        <v>6170</v>
      </c>
      <c r="D164" s="10">
        <v>35044</v>
      </c>
      <c r="E164" s="10">
        <v>14631</v>
      </c>
      <c r="F164" s="10">
        <v>3902</v>
      </c>
      <c r="G164" s="10">
        <v>7762</v>
      </c>
      <c r="H164" s="10">
        <v>1153</v>
      </c>
      <c r="I164" s="10">
        <v>6406</v>
      </c>
      <c r="J164" s="10">
        <v>0</v>
      </c>
      <c r="K164" s="10">
        <v>0</v>
      </c>
      <c r="L164" s="10">
        <v>4047</v>
      </c>
      <c r="M164" s="10">
        <v>5400</v>
      </c>
      <c r="N164" s="10">
        <v>0</v>
      </c>
      <c r="O164" s="10">
        <v>2813</v>
      </c>
      <c r="P164" s="10">
        <v>8674</v>
      </c>
      <c r="Q164" s="10">
        <v>1862</v>
      </c>
      <c r="R164" s="10">
        <v>13623</v>
      </c>
      <c r="S164" s="10">
        <v>81226</v>
      </c>
      <c r="T164" s="10">
        <v>30261</v>
      </c>
      <c r="U164" s="10">
        <v>16.208427876823336</v>
      </c>
      <c r="V164" s="10">
        <v>20.166447894076018</v>
      </c>
      <c r="W164" s="10">
        <v>0</v>
      </c>
      <c r="X164" s="10">
        <v>20.689084819902948</v>
      </c>
      <c r="Y164" s="10">
        <v>46.363659661711942</v>
      </c>
      <c r="Z164" s="10">
        <v>20.551790775573306</v>
      </c>
      <c r="AA164" s="10">
        <v>18.309627059843887</v>
      </c>
      <c r="AB164" s="10">
        <v>35.429597252575711</v>
      </c>
      <c r="AC164" s="10">
        <v>50.815261044176708</v>
      </c>
      <c r="AD164" s="10">
        <v>0</v>
      </c>
      <c r="AE164" s="10">
        <v>21.54904867803311</v>
      </c>
      <c r="AF164" s="10">
        <v>55.946296296296296</v>
      </c>
      <c r="AG164" s="10">
        <v>0</v>
      </c>
      <c r="AH164" s="10">
        <v>24.425168858869533</v>
      </c>
      <c r="AI164" s="10">
        <v>40.777726539082309</v>
      </c>
      <c r="AJ164" s="10">
        <v>59.74038461538462</v>
      </c>
      <c r="AK164" s="10">
        <v>34.979591836734691</v>
      </c>
      <c r="AL164" s="10">
        <v>23.051163473537397</v>
      </c>
      <c r="AM164" s="10">
        <v>0</v>
      </c>
      <c r="AN164" s="10">
        <v>4</v>
      </c>
      <c r="AO164" s="10">
        <v>2</v>
      </c>
      <c r="AP164" s="10">
        <v>12</v>
      </c>
      <c r="AQ164" s="10">
        <v>6</v>
      </c>
      <c r="AR164" s="10">
        <v>4</v>
      </c>
      <c r="AS164" s="10">
        <v>0</v>
      </c>
      <c r="AT164" s="10">
        <v>2</v>
      </c>
      <c r="AU164" s="10">
        <v>1</v>
      </c>
      <c r="AV164" s="10">
        <v>0</v>
      </c>
      <c r="AW164" s="10">
        <v>3</v>
      </c>
      <c r="AX164" s="10">
        <v>2</v>
      </c>
      <c r="AY164" s="10">
        <v>0</v>
      </c>
      <c r="AZ164" s="10">
        <v>5</v>
      </c>
      <c r="BA164" s="10">
        <v>1</v>
      </c>
      <c r="BB164" s="10">
        <v>6</v>
      </c>
      <c r="BC164" s="10">
        <v>48</v>
      </c>
      <c r="BD164" s="10">
        <v>2</v>
      </c>
      <c r="BE164" s="10">
        <v>1</v>
      </c>
      <c r="BF164" s="10">
        <v>10</v>
      </c>
      <c r="BG164" s="10">
        <v>10</v>
      </c>
      <c r="BH164" s="10">
        <v>1</v>
      </c>
      <c r="BI164" s="10">
        <v>1</v>
      </c>
      <c r="BJ164" s="10">
        <v>3</v>
      </c>
      <c r="BK164" s="10">
        <v>1</v>
      </c>
      <c r="BL164" s="10">
        <v>0</v>
      </c>
      <c r="BM164" s="10">
        <v>0</v>
      </c>
      <c r="BN164" s="10">
        <v>0</v>
      </c>
      <c r="BO164" s="10">
        <v>0</v>
      </c>
      <c r="BP164" s="10">
        <v>2</v>
      </c>
      <c r="BQ164" s="10">
        <v>0</v>
      </c>
      <c r="BR164" s="10">
        <v>5</v>
      </c>
      <c r="BS164" s="10">
        <v>36</v>
      </c>
    </row>
    <row r="165" spans="1:71" x14ac:dyDescent="0.55000000000000004">
      <c r="A165" s="10">
        <v>963</v>
      </c>
      <c r="B165" s="10">
        <v>2022</v>
      </c>
      <c r="C165" s="10">
        <v>6621</v>
      </c>
      <c r="D165" s="10">
        <v>35058</v>
      </c>
      <c r="E165" s="10">
        <v>17519</v>
      </c>
      <c r="F165" s="10">
        <v>7854</v>
      </c>
      <c r="G165" s="10">
        <v>11906</v>
      </c>
      <c r="H165" s="10">
        <v>1391</v>
      </c>
      <c r="I165" s="10">
        <v>12837</v>
      </c>
      <c r="J165" s="10">
        <v>0</v>
      </c>
      <c r="K165" s="10">
        <v>0</v>
      </c>
      <c r="L165" s="10">
        <v>2125</v>
      </c>
      <c r="M165" s="10">
        <v>2080</v>
      </c>
      <c r="N165" s="10">
        <v>0</v>
      </c>
      <c r="O165" s="10">
        <v>6340</v>
      </c>
      <c r="P165" s="10">
        <v>8219</v>
      </c>
      <c r="Q165" s="10">
        <v>2080</v>
      </c>
      <c r="R165" s="10">
        <v>5941</v>
      </c>
      <c r="S165" s="10">
        <v>74961</v>
      </c>
      <c r="T165" s="10">
        <v>45010</v>
      </c>
      <c r="U165" s="10">
        <v>20.012686905301312</v>
      </c>
      <c r="V165" s="10">
        <v>22.779080381082775</v>
      </c>
      <c r="W165" s="10">
        <v>0</v>
      </c>
      <c r="X165" s="10">
        <v>10.840344768537017</v>
      </c>
      <c r="Y165" s="10">
        <v>34.023427552839316</v>
      </c>
      <c r="Z165" s="10">
        <v>14.555938182429028</v>
      </c>
      <c r="AA165" s="10">
        <v>13.63767074047448</v>
      </c>
      <c r="AB165" s="10">
        <v>30.276232764664641</v>
      </c>
      <c r="AC165" s="10">
        <v>0</v>
      </c>
      <c r="AD165" s="10">
        <v>0</v>
      </c>
      <c r="AE165" s="10">
        <v>25.734117647058824</v>
      </c>
      <c r="AF165" s="10">
        <v>45.532692307692308</v>
      </c>
      <c r="AG165" s="10">
        <v>0</v>
      </c>
      <c r="AH165" s="10">
        <v>22.767507886435329</v>
      </c>
      <c r="AI165" s="10">
        <v>39.521109624041856</v>
      </c>
      <c r="AJ165" s="10">
        <v>0</v>
      </c>
      <c r="AK165" s="10">
        <v>26.215384615384615</v>
      </c>
      <c r="AL165" s="10">
        <v>28.505302137687259</v>
      </c>
      <c r="AM165" s="10">
        <v>0</v>
      </c>
      <c r="AN165" s="10">
        <v>2</v>
      </c>
      <c r="AO165" s="10">
        <v>3</v>
      </c>
      <c r="AP165" s="10">
        <v>12</v>
      </c>
      <c r="AQ165" s="10">
        <v>5</v>
      </c>
      <c r="AR165" s="10">
        <v>4</v>
      </c>
      <c r="AS165" s="10">
        <v>1</v>
      </c>
      <c r="AT165" s="10">
        <v>4</v>
      </c>
      <c r="AU165" s="10">
        <v>3</v>
      </c>
      <c r="AV165" s="10">
        <v>0</v>
      </c>
      <c r="AW165" s="10">
        <v>1</v>
      </c>
      <c r="AX165" s="10">
        <v>1</v>
      </c>
      <c r="AY165" s="10">
        <v>0</v>
      </c>
      <c r="AZ165" s="10">
        <v>4</v>
      </c>
      <c r="BA165" s="10">
        <v>1</v>
      </c>
      <c r="BB165" s="10">
        <v>2</v>
      </c>
      <c r="BC165" s="10">
        <v>43</v>
      </c>
      <c r="BD165" s="10">
        <v>4</v>
      </c>
      <c r="BE165" s="10">
        <v>0</v>
      </c>
      <c r="BF165" s="10">
        <v>5</v>
      </c>
      <c r="BG165" s="10">
        <v>2</v>
      </c>
      <c r="BH165" s="10">
        <v>4</v>
      </c>
      <c r="BI165" s="10">
        <v>0</v>
      </c>
      <c r="BJ165" s="10">
        <v>3</v>
      </c>
      <c r="BK165" s="10">
        <v>0</v>
      </c>
      <c r="BL165" s="10">
        <v>0</v>
      </c>
      <c r="BM165" s="10">
        <v>0</v>
      </c>
      <c r="BN165" s="10">
        <v>0</v>
      </c>
      <c r="BO165" s="10">
        <v>0</v>
      </c>
      <c r="BP165" s="10">
        <v>3</v>
      </c>
      <c r="BQ165" s="10">
        <v>0</v>
      </c>
      <c r="BR165" s="10">
        <v>0</v>
      </c>
      <c r="BS165" s="10">
        <v>21</v>
      </c>
    </row>
    <row r="166" spans="1:71" x14ac:dyDescent="0.55000000000000004">
      <c r="A166" s="10">
        <v>503</v>
      </c>
      <c r="B166" s="10">
        <v>2022</v>
      </c>
      <c r="C166" s="10">
        <v>3459</v>
      </c>
      <c r="D166" s="10">
        <v>35208</v>
      </c>
      <c r="E166" s="10">
        <v>10845</v>
      </c>
      <c r="F166" s="10">
        <v>8634</v>
      </c>
      <c r="G166" s="10">
        <v>6211</v>
      </c>
      <c r="H166" s="10">
        <v>0</v>
      </c>
      <c r="I166" s="10">
        <v>13609</v>
      </c>
      <c r="J166" s="10">
        <v>0</v>
      </c>
      <c r="K166" s="10">
        <v>0</v>
      </c>
      <c r="L166" s="10">
        <v>3059</v>
      </c>
      <c r="M166" s="10">
        <v>6894</v>
      </c>
      <c r="N166" s="10">
        <v>4408</v>
      </c>
      <c r="O166" s="10">
        <v>2738</v>
      </c>
      <c r="P166" s="10">
        <v>9877</v>
      </c>
      <c r="Q166" s="10">
        <v>811</v>
      </c>
      <c r="R166" s="10">
        <v>9441</v>
      </c>
      <c r="S166" s="10">
        <v>86766</v>
      </c>
      <c r="T166" s="10">
        <v>28428</v>
      </c>
      <c r="U166" s="10">
        <v>19.160161896501879</v>
      </c>
      <c r="V166" s="10">
        <v>23.214865939559189</v>
      </c>
      <c r="W166" s="10">
        <v>38.791869918699184</v>
      </c>
      <c r="X166" s="10">
        <v>19.008022130013831</v>
      </c>
      <c r="Y166" s="10">
        <v>26.581306462821406</v>
      </c>
      <c r="Z166" s="10">
        <v>15.901626147158266</v>
      </c>
      <c r="AA166" s="10">
        <v>0</v>
      </c>
      <c r="AB166" s="10">
        <v>33.709530457785291</v>
      </c>
      <c r="AC166" s="10">
        <v>51.071428571428569</v>
      </c>
      <c r="AD166" s="10">
        <v>0</v>
      </c>
      <c r="AE166" s="10">
        <v>27.464530892448515</v>
      </c>
      <c r="AF166" s="10">
        <v>46.779083260806495</v>
      </c>
      <c r="AG166" s="10">
        <v>25.718693284936478</v>
      </c>
      <c r="AH166" s="10">
        <v>17.280131482834186</v>
      </c>
      <c r="AI166" s="10">
        <v>43.391616887718939</v>
      </c>
      <c r="AJ166" s="10">
        <v>59.476312419974391</v>
      </c>
      <c r="AK166" s="10">
        <v>30.985203452527745</v>
      </c>
      <c r="AL166" s="10">
        <v>25.072555873318503</v>
      </c>
      <c r="AM166" s="10">
        <v>0</v>
      </c>
      <c r="AN166" s="10">
        <v>3</v>
      </c>
      <c r="AO166" s="10">
        <v>3</v>
      </c>
      <c r="AP166" s="10">
        <v>14</v>
      </c>
      <c r="AQ166" s="10">
        <v>4</v>
      </c>
      <c r="AR166" s="10">
        <v>3</v>
      </c>
      <c r="AS166" s="10">
        <v>0</v>
      </c>
      <c r="AT166" s="10">
        <v>5</v>
      </c>
      <c r="AU166" s="10">
        <v>1</v>
      </c>
      <c r="AV166" s="10">
        <v>0</v>
      </c>
      <c r="AW166" s="10">
        <v>3</v>
      </c>
      <c r="AX166" s="10">
        <v>4</v>
      </c>
      <c r="AY166" s="10">
        <v>1</v>
      </c>
      <c r="AZ166" s="10">
        <v>4</v>
      </c>
      <c r="BA166" s="10">
        <v>1</v>
      </c>
      <c r="BB166" s="10">
        <v>0</v>
      </c>
      <c r="BC166" s="10">
        <v>46</v>
      </c>
      <c r="BD166" s="10">
        <v>0</v>
      </c>
      <c r="BE166" s="10">
        <v>1</v>
      </c>
      <c r="BF166" s="10">
        <v>4</v>
      </c>
      <c r="BG166" s="10">
        <v>10</v>
      </c>
      <c r="BH166" s="10">
        <v>1</v>
      </c>
      <c r="BI166" s="10">
        <v>0</v>
      </c>
      <c r="BJ166" s="10">
        <v>3</v>
      </c>
      <c r="BK166" s="10">
        <v>0</v>
      </c>
      <c r="BL166" s="10">
        <v>0</v>
      </c>
      <c r="BM166" s="10">
        <v>0</v>
      </c>
      <c r="BN166" s="10">
        <v>0</v>
      </c>
      <c r="BO166" s="10">
        <v>0</v>
      </c>
      <c r="BP166" s="10">
        <v>1</v>
      </c>
      <c r="BQ166" s="10">
        <v>0</v>
      </c>
      <c r="BR166" s="10">
        <v>3</v>
      </c>
      <c r="BS166" s="10">
        <v>23</v>
      </c>
    </row>
    <row r="167" spans="1:71" x14ac:dyDescent="0.55000000000000004">
      <c r="A167" s="10">
        <v>843</v>
      </c>
      <c r="B167" s="10">
        <v>2022</v>
      </c>
      <c r="C167" s="10">
        <v>5416</v>
      </c>
      <c r="D167" s="10">
        <v>35237</v>
      </c>
      <c r="E167" s="10">
        <v>18865</v>
      </c>
      <c r="F167" s="10">
        <v>7045</v>
      </c>
      <c r="G167" s="10">
        <v>6562</v>
      </c>
      <c r="H167" s="10">
        <v>2907</v>
      </c>
      <c r="I167" s="10">
        <v>3446</v>
      </c>
      <c r="J167" s="10">
        <v>0</v>
      </c>
      <c r="K167" s="10">
        <v>0</v>
      </c>
      <c r="L167" s="10">
        <v>2297</v>
      </c>
      <c r="M167" s="10">
        <v>5269</v>
      </c>
      <c r="N167" s="10">
        <v>0</v>
      </c>
      <c r="O167" s="10">
        <v>5831</v>
      </c>
      <c r="P167" s="10">
        <v>6834</v>
      </c>
      <c r="Q167" s="10">
        <v>2908</v>
      </c>
      <c r="R167" s="10">
        <v>0</v>
      </c>
      <c r="S167" s="10">
        <v>61407</v>
      </c>
      <c r="T167" s="10">
        <v>41210</v>
      </c>
      <c r="U167" s="10">
        <v>14.220088626292467</v>
      </c>
      <c r="V167" s="10">
        <v>21.459488605726936</v>
      </c>
      <c r="W167" s="10">
        <v>34.101604278074866</v>
      </c>
      <c r="X167" s="10">
        <v>13.954518950437318</v>
      </c>
      <c r="Y167" s="10">
        <v>27.291128459900637</v>
      </c>
      <c r="Z167" s="10">
        <v>15.05851874428528</v>
      </c>
      <c r="AA167" s="10">
        <v>13.523219814241486</v>
      </c>
      <c r="AB167" s="10">
        <v>24.988392338943704</v>
      </c>
      <c r="AC167" s="10">
        <v>0</v>
      </c>
      <c r="AD167" s="10">
        <v>0</v>
      </c>
      <c r="AE167" s="10">
        <v>20.078798432738353</v>
      </c>
      <c r="AF167" s="10">
        <v>38.747769975327387</v>
      </c>
      <c r="AG167" s="10">
        <v>0</v>
      </c>
      <c r="AH167" s="10">
        <v>22.802263762647918</v>
      </c>
      <c r="AI167" s="10">
        <v>41.095258999122038</v>
      </c>
      <c r="AJ167" s="10">
        <v>0</v>
      </c>
      <c r="AK167" s="10">
        <v>24.843535075653371</v>
      </c>
      <c r="AL167" s="10">
        <v>0</v>
      </c>
      <c r="AM167" s="10">
        <v>0</v>
      </c>
      <c r="AN167" s="10">
        <v>2</v>
      </c>
      <c r="AO167" s="10">
        <v>3</v>
      </c>
      <c r="AP167" s="10">
        <v>14</v>
      </c>
      <c r="AQ167" s="10">
        <v>7</v>
      </c>
      <c r="AR167" s="10">
        <v>3</v>
      </c>
      <c r="AS167" s="10">
        <v>0</v>
      </c>
      <c r="AT167" s="10">
        <v>1</v>
      </c>
      <c r="AU167" s="10">
        <v>3</v>
      </c>
      <c r="AV167" s="10">
        <v>0</v>
      </c>
      <c r="AW167" s="10">
        <v>1</v>
      </c>
      <c r="AX167" s="10">
        <v>2</v>
      </c>
      <c r="AY167" s="10">
        <v>0</v>
      </c>
      <c r="AZ167" s="10">
        <v>3</v>
      </c>
      <c r="BA167" s="10">
        <v>2</v>
      </c>
      <c r="BB167" s="10">
        <v>0</v>
      </c>
      <c r="BC167" s="10">
        <v>41</v>
      </c>
      <c r="BD167" s="10">
        <v>4</v>
      </c>
      <c r="BE167" s="10">
        <v>0</v>
      </c>
      <c r="BF167" s="10">
        <v>7</v>
      </c>
      <c r="BG167" s="10">
        <v>12</v>
      </c>
      <c r="BH167" s="10">
        <v>3</v>
      </c>
      <c r="BI167" s="10">
        <v>1</v>
      </c>
      <c r="BJ167" s="10">
        <v>1</v>
      </c>
      <c r="BK167" s="10">
        <v>1</v>
      </c>
      <c r="BL167" s="10">
        <v>0</v>
      </c>
      <c r="BM167" s="10">
        <v>0</v>
      </c>
      <c r="BN167" s="10">
        <v>0</v>
      </c>
      <c r="BO167" s="10">
        <v>0</v>
      </c>
      <c r="BP167" s="10">
        <v>2</v>
      </c>
      <c r="BQ167" s="10">
        <v>0</v>
      </c>
      <c r="BR167" s="10">
        <v>0</v>
      </c>
      <c r="BS167" s="10">
        <v>31</v>
      </c>
    </row>
    <row r="168" spans="1:71" x14ac:dyDescent="0.55000000000000004">
      <c r="A168" s="10">
        <v>632</v>
      </c>
      <c r="B168" s="10">
        <v>2022</v>
      </c>
      <c r="C168" s="10">
        <v>4573</v>
      </c>
      <c r="D168" s="10">
        <v>35351</v>
      </c>
      <c r="E168" s="10">
        <v>8686</v>
      </c>
      <c r="F168" s="10">
        <v>6156</v>
      </c>
      <c r="G168" s="10">
        <v>3816</v>
      </c>
      <c r="H168" s="10">
        <v>43</v>
      </c>
      <c r="I168" s="10">
        <v>5866</v>
      </c>
      <c r="J168" s="10">
        <v>0</v>
      </c>
      <c r="K168" s="10">
        <v>0</v>
      </c>
      <c r="L168" s="10">
        <v>2079</v>
      </c>
      <c r="M168" s="10">
        <v>2252</v>
      </c>
      <c r="N168" s="10">
        <v>1087</v>
      </c>
      <c r="O168" s="10">
        <v>18</v>
      </c>
      <c r="P168" s="10">
        <v>13200</v>
      </c>
      <c r="Q168" s="10">
        <v>2072</v>
      </c>
      <c r="R168" s="10">
        <v>3842</v>
      </c>
      <c r="S168" s="10">
        <v>70322</v>
      </c>
      <c r="T168" s="10">
        <v>18719</v>
      </c>
      <c r="U168" s="10">
        <v>18.751148042860269</v>
      </c>
      <c r="V168" s="10">
        <v>20.246527679556447</v>
      </c>
      <c r="W168" s="10">
        <v>35.955006701129619</v>
      </c>
      <c r="X168" s="10">
        <v>14.952337094174533</v>
      </c>
      <c r="Y168" s="10">
        <v>25.541747888239119</v>
      </c>
      <c r="Z168" s="10">
        <v>14.862159329140461</v>
      </c>
      <c r="AA168" s="10">
        <v>9.7906976744186043</v>
      </c>
      <c r="AB168" s="10">
        <v>25.120184111830888</v>
      </c>
      <c r="AC168" s="10">
        <v>50.75</v>
      </c>
      <c r="AD168" s="10">
        <v>0</v>
      </c>
      <c r="AE168" s="10">
        <v>18.419913419913421</v>
      </c>
      <c r="AF168" s="10">
        <v>45.659857904085257</v>
      </c>
      <c r="AG168" s="10">
        <v>22.899724011039559</v>
      </c>
      <c r="AH168" s="10">
        <v>15.277777777777777</v>
      </c>
      <c r="AI168" s="10">
        <v>37.667803030303027</v>
      </c>
      <c r="AJ168" s="10">
        <v>62.371428571428574</v>
      </c>
      <c r="AK168" s="10">
        <v>20.009169884169882</v>
      </c>
      <c r="AL168" s="10">
        <v>21.295419052576783</v>
      </c>
      <c r="AM168" s="10">
        <v>0</v>
      </c>
      <c r="AN168" s="10">
        <v>3</v>
      </c>
      <c r="AO168" s="10">
        <v>2</v>
      </c>
      <c r="AP168" s="10">
        <v>13</v>
      </c>
      <c r="AQ168" s="10">
        <v>6</v>
      </c>
      <c r="AR168" s="10">
        <v>0</v>
      </c>
      <c r="AS168" s="10">
        <v>0</v>
      </c>
      <c r="AT168" s="10">
        <v>1</v>
      </c>
      <c r="AU168" s="10">
        <v>0</v>
      </c>
      <c r="AV168" s="10">
        <v>0</v>
      </c>
      <c r="AW168" s="10">
        <v>1</v>
      </c>
      <c r="AX168" s="10">
        <v>2</v>
      </c>
      <c r="AY168" s="10">
        <v>1</v>
      </c>
      <c r="AZ168" s="10">
        <v>8</v>
      </c>
      <c r="BA168" s="10">
        <v>1</v>
      </c>
      <c r="BB168" s="10">
        <v>0</v>
      </c>
      <c r="BC168" s="10">
        <v>38</v>
      </c>
      <c r="BD168" s="10">
        <v>1</v>
      </c>
      <c r="BE168" s="10">
        <v>1</v>
      </c>
      <c r="BF168" s="10">
        <v>5</v>
      </c>
      <c r="BG168" s="10">
        <v>2</v>
      </c>
      <c r="BH168" s="10">
        <v>2</v>
      </c>
      <c r="BI168" s="10">
        <v>0</v>
      </c>
      <c r="BJ168" s="10">
        <v>3</v>
      </c>
      <c r="BK168" s="10">
        <v>0</v>
      </c>
      <c r="BL168" s="10">
        <v>0</v>
      </c>
      <c r="BM168" s="10">
        <v>0</v>
      </c>
      <c r="BN168" s="10">
        <v>0</v>
      </c>
      <c r="BO168" s="10">
        <v>0</v>
      </c>
      <c r="BP168" s="10">
        <v>0</v>
      </c>
      <c r="BQ168" s="10">
        <v>0</v>
      </c>
      <c r="BR168" s="10">
        <v>0</v>
      </c>
      <c r="BS168" s="10">
        <v>14</v>
      </c>
    </row>
    <row r="169" spans="1:71" x14ac:dyDescent="0.55000000000000004">
      <c r="A169" s="10" t="e">
        <v>#N/A</v>
      </c>
      <c r="B169" s="10">
        <v>2022</v>
      </c>
      <c r="C169" s="10">
        <v>4305</v>
      </c>
      <c r="D169" s="10">
        <v>35487</v>
      </c>
      <c r="E169" s="10">
        <v>851</v>
      </c>
      <c r="F169" s="10">
        <v>928</v>
      </c>
      <c r="G169" s="10">
        <v>0</v>
      </c>
      <c r="H169" s="10">
        <v>0</v>
      </c>
      <c r="I169" s="10">
        <v>9765</v>
      </c>
      <c r="J169" s="10">
        <v>0</v>
      </c>
      <c r="K169" s="10">
        <v>0</v>
      </c>
      <c r="L169" s="10">
        <v>408</v>
      </c>
      <c r="M169" s="10">
        <v>1218</v>
      </c>
      <c r="N169" s="10">
        <v>1839</v>
      </c>
      <c r="O169" s="10">
        <v>0</v>
      </c>
      <c r="P169" s="10">
        <v>17530</v>
      </c>
      <c r="Q169" s="10">
        <v>845</v>
      </c>
      <c r="R169" s="10">
        <v>0</v>
      </c>
      <c r="S169" s="10">
        <v>71397</v>
      </c>
      <c r="T169" s="10">
        <v>1779</v>
      </c>
      <c r="U169" s="10">
        <v>22.883623693379793</v>
      </c>
      <c r="V169" s="10">
        <v>25.276439259447123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29.748899129544288</v>
      </c>
      <c r="AC169" s="10">
        <v>0</v>
      </c>
      <c r="AD169" s="10">
        <v>0</v>
      </c>
      <c r="AE169" s="10">
        <v>37.806372549019606</v>
      </c>
      <c r="AF169" s="10">
        <v>57.656814449917896</v>
      </c>
      <c r="AG169" s="10">
        <v>24.688417618270798</v>
      </c>
      <c r="AH169" s="10">
        <v>0</v>
      </c>
      <c r="AI169" s="10">
        <v>42.700513405590421</v>
      </c>
      <c r="AJ169" s="10">
        <v>0</v>
      </c>
      <c r="AK169" s="10">
        <v>176.3609467455621</v>
      </c>
      <c r="AL169" s="10">
        <v>0</v>
      </c>
      <c r="AM169" s="10">
        <v>0</v>
      </c>
      <c r="AN169" s="10">
        <v>1</v>
      </c>
      <c r="AO169" s="10">
        <v>0</v>
      </c>
      <c r="AP169" s="10">
        <v>11</v>
      </c>
      <c r="AQ169" s="10">
        <v>2</v>
      </c>
      <c r="AR169" s="10">
        <v>0</v>
      </c>
      <c r="AS169" s="10">
        <v>0</v>
      </c>
      <c r="AT169" s="10">
        <v>2</v>
      </c>
      <c r="AU169" s="10">
        <v>0</v>
      </c>
      <c r="AV169" s="10">
        <v>0</v>
      </c>
      <c r="AW169" s="10">
        <v>0</v>
      </c>
      <c r="AX169" s="10">
        <v>0</v>
      </c>
      <c r="AY169" s="10">
        <v>8</v>
      </c>
      <c r="AZ169" s="10">
        <v>3</v>
      </c>
      <c r="BA169" s="10">
        <v>2</v>
      </c>
      <c r="BB169" s="10">
        <v>0</v>
      </c>
      <c r="BC169" s="10">
        <v>29</v>
      </c>
      <c r="BD169" s="10">
        <v>2</v>
      </c>
      <c r="BE169" s="10">
        <v>0</v>
      </c>
      <c r="BF169" s="10">
        <v>5</v>
      </c>
      <c r="BG169" s="10">
        <v>1</v>
      </c>
      <c r="BH169" s="10">
        <v>0</v>
      </c>
      <c r="BI169" s="10">
        <v>0</v>
      </c>
      <c r="BJ169" s="10">
        <v>2</v>
      </c>
      <c r="BK169" s="10">
        <v>0</v>
      </c>
      <c r="BL169" s="10">
        <v>0</v>
      </c>
      <c r="BM169" s="10">
        <v>0</v>
      </c>
      <c r="BN169" s="10">
        <v>3</v>
      </c>
      <c r="BO169" s="10">
        <v>7</v>
      </c>
      <c r="BP169" s="10">
        <v>5</v>
      </c>
      <c r="BQ169" s="10">
        <v>0</v>
      </c>
      <c r="BR169" s="10">
        <v>0</v>
      </c>
      <c r="BS169" s="10">
        <v>25</v>
      </c>
    </row>
    <row r="170" spans="1:71" x14ac:dyDescent="0.55000000000000004">
      <c r="A170" s="10">
        <v>737</v>
      </c>
      <c r="B170" s="10">
        <v>2022</v>
      </c>
      <c r="C170" s="10">
        <v>2465</v>
      </c>
      <c r="D170" s="10">
        <v>35838</v>
      </c>
      <c r="E170" s="10">
        <v>16741</v>
      </c>
      <c r="F170" s="10">
        <v>7652</v>
      </c>
      <c r="G170" s="10">
        <v>5518</v>
      </c>
      <c r="H170" s="10">
        <v>3199</v>
      </c>
      <c r="I170" s="10">
        <v>6549</v>
      </c>
      <c r="J170" s="10">
        <v>0</v>
      </c>
      <c r="K170" s="10">
        <v>0</v>
      </c>
      <c r="L170" s="10">
        <v>143</v>
      </c>
      <c r="M170" s="10">
        <v>6107</v>
      </c>
      <c r="N170" s="10">
        <v>0</v>
      </c>
      <c r="O170" s="10">
        <v>3198</v>
      </c>
      <c r="P170" s="10">
        <v>3996</v>
      </c>
      <c r="Q170" s="10">
        <v>1919</v>
      </c>
      <c r="R170" s="10">
        <v>4321</v>
      </c>
      <c r="S170" s="10">
        <v>61338</v>
      </c>
      <c r="T170" s="10">
        <v>36308</v>
      </c>
      <c r="U170" s="10">
        <v>21.286815415821501</v>
      </c>
      <c r="V170" s="10">
        <v>15.379290138958645</v>
      </c>
      <c r="W170" s="10">
        <v>32.146585703632681</v>
      </c>
      <c r="X170" s="10">
        <v>13.437070664834836</v>
      </c>
      <c r="Y170" s="10">
        <v>21.11996863565081</v>
      </c>
      <c r="Z170" s="10">
        <v>12.952881478796664</v>
      </c>
      <c r="AA170" s="10">
        <v>13.021569240387622</v>
      </c>
      <c r="AB170" s="10">
        <v>26.651244464803785</v>
      </c>
      <c r="AC170" s="10">
        <v>45.374245472837018</v>
      </c>
      <c r="AD170" s="10">
        <v>0</v>
      </c>
      <c r="AE170" s="10">
        <v>305.39160839160837</v>
      </c>
      <c r="AF170" s="10">
        <v>39.505158015392169</v>
      </c>
      <c r="AG170" s="10">
        <v>0</v>
      </c>
      <c r="AH170" s="10">
        <v>22.487492182614133</v>
      </c>
      <c r="AI170" s="10">
        <v>34.125875875875877</v>
      </c>
      <c r="AJ170" s="10">
        <v>62.246376811594203</v>
      </c>
      <c r="AK170" s="10">
        <v>22.334549244398126</v>
      </c>
      <c r="AL170" s="10">
        <v>17.603332561906964</v>
      </c>
      <c r="AM170" s="10">
        <v>36.546405228758168</v>
      </c>
      <c r="AN170" s="10">
        <v>2</v>
      </c>
      <c r="AO170" s="10">
        <v>2</v>
      </c>
      <c r="AP170" s="10">
        <v>11</v>
      </c>
      <c r="AQ170" s="10">
        <v>5</v>
      </c>
      <c r="AR170" s="10">
        <v>2</v>
      </c>
      <c r="AS170" s="10">
        <v>1</v>
      </c>
      <c r="AT170" s="10">
        <v>3</v>
      </c>
      <c r="AU170" s="10">
        <v>1</v>
      </c>
      <c r="AV170" s="10">
        <v>0</v>
      </c>
      <c r="AW170" s="10">
        <v>1</v>
      </c>
      <c r="AX170" s="10">
        <v>4</v>
      </c>
      <c r="AY170" s="10">
        <v>0</v>
      </c>
      <c r="AZ170" s="10">
        <v>1</v>
      </c>
      <c r="BA170" s="10">
        <v>1</v>
      </c>
      <c r="BB170" s="10">
        <v>1</v>
      </c>
      <c r="BC170" s="10">
        <v>35</v>
      </c>
      <c r="BD170" s="10">
        <v>0</v>
      </c>
      <c r="BE170" s="10">
        <v>1</v>
      </c>
      <c r="BF170" s="10">
        <v>10</v>
      </c>
      <c r="BG170" s="10">
        <v>7</v>
      </c>
      <c r="BH170" s="10">
        <v>1</v>
      </c>
      <c r="BI170" s="10">
        <v>2</v>
      </c>
      <c r="BJ170" s="10">
        <v>1</v>
      </c>
      <c r="BK170" s="10">
        <v>0</v>
      </c>
      <c r="BL170" s="10">
        <v>0</v>
      </c>
      <c r="BM170" s="10">
        <v>0</v>
      </c>
      <c r="BN170" s="10">
        <v>0</v>
      </c>
      <c r="BO170" s="10">
        <v>0</v>
      </c>
      <c r="BP170" s="10">
        <v>0</v>
      </c>
      <c r="BQ170" s="10">
        <v>0</v>
      </c>
      <c r="BR170" s="10">
        <v>0</v>
      </c>
      <c r="BS170" s="10">
        <v>22</v>
      </c>
    </row>
    <row r="171" spans="1:71" x14ac:dyDescent="0.55000000000000004">
      <c r="A171" s="10">
        <v>142</v>
      </c>
      <c r="B171" s="10">
        <v>2022</v>
      </c>
      <c r="C171" s="10">
        <v>4663</v>
      </c>
      <c r="D171" s="10">
        <v>35938</v>
      </c>
      <c r="E171" s="10">
        <v>14009</v>
      </c>
      <c r="F171" s="10">
        <v>4630</v>
      </c>
      <c r="G171" s="10">
        <v>13004</v>
      </c>
      <c r="H171" s="10">
        <v>0</v>
      </c>
      <c r="I171" s="10">
        <v>9883</v>
      </c>
      <c r="J171" s="10">
        <v>0</v>
      </c>
      <c r="K171" s="10">
        <v>0</v>
      </c>
      <c r="L171" s="10">
        <v>10508</v>
      </c>
      <c r="M171" s="10">
        <v>4568</v>
      </c>
      <c r="N171" s="10">
        <v>4185</v>
      </c>
      <c r="O171" s="10">
        <v>2113</v>
      </c>
      <c r="P171" s="10">
        <v>15286</v>
      </c>
      <c r="Q171" s="10">
        <v>1644</v>
      </c>
      <c r="R171" s="10">
        <v>0</v>
      </c>
      <c r="S171" s="10">
        <v>86675</v>
      </c>
      <c r="T171" s="10">
        <v>33756</v>
      </c>
      <c r="U171" s="10">
        <v>24.293373364786618</v>
      </c>
      <c r="V171" s="10">
        <v>25.556680950525905</v>
      </c>
      <c r="W171" s="10">
        <v>31.845368344274249</v>
      </c>
      <c r="X171" s="10">
        <v>0</v>
      </c>
      <c r="Y171" s="10">
        <v>0</v>
      </c>
      <c r="Z171" s="10">
        <v>0</v>
      </c>
      <c r="AA171" s="10">
        <v>0</v>
      </c>
      <c r="AB171" s="10">
        <v>32.029545684508754</v>
      </c>
      <c r="AC171" s="10">
        <v>48.139031925849636</v>
      </c>
      <c r="AD171" s="10">
        <v>0</v>
      </c>
      <c r="AE171" s="10">
        <v>0</v>
      </c>
      <c r="AF171" s="10">
        <v>42.417907180385292</v>
      </c>
      <c r="AG171" s="10">
        <v>27.550298685782558</v>
      </c>
      <c r="AH171" s="10">
        <v>0</v>
      </c>
      <c r="AI171" s="10">
        <v>43.694426272406126</v>
      </c>
      <c r="AJ171" s="10">
        <v>60.687607573149741</v>
      </c>
      <c r="AK171" s="10">
        <v>26.939172749391727</v>
      </c>
      <c r="AL171" s="10">
        <v>0</v>
      </c>
      <c r="AM171" s="10">
        <v>0</v>
      </c>
      <c r="AN171" s="10">
        <v>2</v>
      </c>
      <c r="AO171" s="10">
        <v>3</v>
      </c>
      <c r="AP171" s="10">
        <v>6</v>
      </c>
      <c r="AQ171" s="10">
        <v>8</v>
      </c>
      <c r="AR171" s="10">
        <v>7</v>
      </c>
      <c r="AS171" s="10">
        <v>0</v>
      </c>
      <c r="AT171" s="10">
        <v>4</v>
      </c>
      <c r="AU171" s="10">
        <v>1</v>
      </c>
      <c r="AV171" s="10">
        <v>0</v>
      </c>
      <c r="AW171" s="10">
        <v>5</v>
      </c>
      <c r="AX171" s="10">
        <v>1</v>
      </c>
      <c r="AY171" s="10">
        <v>5</v>
      </c>
      <c r="AZ171" s="10">
        <v>5</v>
      </c>
      <c r="BA171" s="10">
        <v>1</v>
      </c>
      <c r="BB171" s="10">
        <v>0</v>
      </c>
      <c r="BC171" s="10">
        <v>48</v>
      </c>
      <c r="BD171" s="10">
        <v>0</v>
      </c>
      <c r="BE171" s="10">
        <v>1</v>
      </c>
      <c r="BF171" s="10">
        <v>12</v>
      </c>
      <c r="BG171" s="10">
        <v>0</v>
      </c>
      <c r="BH171" s="10">
        <v>1</v>
      </c>
      <c r="BI171" s="10">
        <v>0</v>
      </c>
      <c r="BJ171" s="10">
        <v>1</v>
      </c>
      <c r="BK171" s="10">
        <v>0</v>
      </c>
      <c r="BL171" s="10">
        <v>0</v>
      </c>
      <c r="BM171" s="10">
        <v>1</v>
      </c>
      <c r="BN171" s="10">
        <v>0</v>
      </c>
      <c r="BO171" s="10">
        <v>0</v>
      </c>
      <c r="BP171" s="10">
        <v>2</v>
      </c>
      <c r="BQ171" s="10">
        <v>0</v>
      </c>
      <c r="BR171" s="10">
        <v>0</v>
      </c>
      <c r="BS171" s="10">
        <v>18</v>
      </c>
    </row>
    <row r="172" spans="1:71" x14ac:dyDescent="0.55000000000000004">
      <c r="A172" s="10">
        <v>656</v>
      </c>
      <c r="B172" s="10">
        <v>2022</v>
      </c>
      <c r="C172" s="10">
        <v>4388</v>
      </c>
      <c r="D172" s="10">
        <v>36127</v>
      </c>
      <c r="E172" s="10">
        <v>16596</v>
      </c>
      <c r="F172" s="10">
        <v>7320</v>
      </c>
      <c r="G172" s="10">
        <v>7333</v>
      </c>
      <c r="H172" s="10">
        <v>0</v>
      </c>
      <c r="I172" s="10">
        <v>12479</v>
      </c>
      <c r="J172" s="10">
        <v>0</v>
      </c>
      <c r="K172" s="10">
        <v>1149</v>
      </c>
      <c r="L172" s="10">
        <v>2920</v>
      </c>
      <c r="M172" s="10">
        <v>7372</v>
      </c>
      <c r="N172" s="10">
        <v>0</v>
      </c>
      <c r="O172" s="10">
        <v>2480</v>
      </c>
      <c r="P172" s="10">
        <v>4088</v>
      </c>
      <c r="Q172" s="10">
        <v>1617</v>
      </c>
      <c r="R172" s="10">
        <v>1473</v>
      </c>
      <c r="S172" s="10">
        <v>71613</v>
      </c>
      <c r="T172" s="10">
        <v>33729</v>
      </c>
      <c r="U172" s="10">
        <v>23.813582497721058</v>
      </c>
      <c r="V172" s="10">
        <v>23.550779195615466</v>
      </c>
      <c r="W172" s="10">
        <v>42.164634146341463</v>
      </c>
      <c r="X172" s="10">
        <v>20.26295492889853</v>
      </c>
      <c r="Y172" s="10">
        <v>29.11243169398907</v>
      </c>
      <c r="Z172" s="10">
        <v>18.878221737351698</v>
      </c>
      <c r="AA172" s="10">
        <v>0</v>
      </c>
      <c r="AB172" s="10">
        <v>35.126853113230226</v>
      </c>
      <c r="AC172" s="10">
        <v>0</v>
      </c>
      <c r="AD172" s="10">
        <v>18.54917319408181</v>
      </c>
      <c r="AE172" s="10">
        <v>22.397945205479452</v>
      </c>
      <c r="AF172" s="10">
        <v>40.606077048290828</v>
      </c>
      <c r="AG172" s="10">
        <v>0</v>
      </c>
      <c r="AH172" s="10">
        <v>21.565725806451614</v>
      </c>
      <c r="AI172" s="10">
        <v>34.698385518590996</v>
      </c>
      <c r="AJ172" s="10">
        <v>0</v>
      </c>
      <c r="AK172" s="10">
        <v>24.16635745207174</v>
      </c>
      <c r="AL172" s="10">
        <v>22.037338764426337</v>
      </c>
      <c r="AM172" s="10">
        <v>0</v>
      </c>
      <c r="AN172" s="10">
        <v>3</v>
      </c>
      <c r="AO172" s="10">
        <v>2</v>
      </c>
      <c r="AP172" s="10">
        <v>19</v>
      </c>
      <c r="AQ172" s="10">
        <v>5</v>
      </c>
      <c r="AR172" s="10">
        <v>4</v>
      </c>
      <c r="AS172" s="10">
        <v>0</v>
      </c>
      <c r="AT172" s="10">
        <v>6</v>
      </c>
      <c r="AU172" s="10">
        <v>1</v>
      </c>
      <c r="AV172" s="10">
        <v>1</v>
      </c>
      <c r="AW172" s="10">
        <v>2</v>
      </c>
      <c r="AX172" s="10">
        <v>5</v>
      </c>
      <c r="AY172" s="10">
        <v>0</v>
      </c>
      <c r="AZ172" s="10">
        <v>0</v>
      </c>
      <c r="BA172" s="10">
        <v>2</v>
      </c>
      <c r="BB172" s="10">
        <v>2</v>
      </c>
      <c r="BC172" s="10">
        <v>52</v>
      </c>
      <c r="BD172" s="10">
        <v>0</v>
      </c>
      <c r="BE172" s="10">
        <v>0</v>
      </c>
      <c r="BF172" s="10">
        <v>1</v>
      </c>
      <c r="BG172" s="10">
        <v>6</v>
      </c>
      <c r="BH172" s="10">
        <v>2</v>
      </c>
      <c r="BI172" s="10">
        <v>0</v>
      </c>
      <c r="BJ172" s="10">
        <v>0</v>
      </c>
      <c r="BK172" s="10">
        <v>0</v>
      </c>
      <c r="BL172" s="10">
        <v>0</v>
      </c>
      <c r="BM172" s="10">
        <v>0</v>
      </c>
      <c r="BN172" s="10">
        <v>0</v>
      </c>
      <c r="BO172" s="10">
        <v>0</v>
      </c>
      <c r="BP172" s="10">
        <v>0</v>
      </c>
      <c r="BQ172" s="10">
        <v>0</v>
      </c>
      <c r="BR172" s="10">
        <v>0</v>
      </c>
      <c r="BS172" s="10">
        <v>9</v>
      </c>
    </row>
    <row r="173" spans="1:71" x14ac:dyDescent="0.55000000000000004">
      <c r="A173" s="10">
        <v>117</v>
      </c>
      <c r="B173" s="10">
        <v>2022</v>
      </c>
      <c r="C173" s="10">
        <v>8289</v>
      </c>
      <c r="D173" s="10">
        <v>36197</v>
      </c>
      <c r="E173" s="10">
        <v>0</v>
      </c>
      <c r="F173" s="10">
        <v>3230</v>
      </c>
      <c r="G173" s="10">
        <v>0</v>
      </c>
      <c r="H173" s="10">
        <v>0</v>
      </c>
      <c r="I173" s="10">
        <v>9936</v>
      </c>
      <c r="J173" s="10">
        <v>0</v>
      </c>
      <c r="K173" s="10">
        <v>0</v>
      </c>
      <c r="L173" s="10">
        <v>0</v>
      </c>
      <c r="M173" s="10">
        <v>2088</v>
      </c>
      <c r="N173" s="10">
        <v>0</v>
      </c>
      <c r="O173" s="10">
        <v>0</v>
      </c>
      <c r="P173" s="10">
        <v>14204</v>
      </c>
      <c r="Q173" s="10">
        <v>1117</v>
      </c>
      <c r="R173" s="10">
        <v>0</v>
      </c>
      <c r="S173" s="10">
        <v>71831</v>
      </c>
      <c r="T173" s="10">
        <v>3230</v>
      </c>
      <c r="U173" s="10">
        <v>20.603570997707806</v>
      </c>
      <c r="V173" s="10">
        <v>19.338342956598613</v>
      </c>
      <c r="W173" s="10">
        <v>26.97166998011928</v>
      </c>
      <c r="X173" s="10">
        <v>0</v>
      </c>
      <c r="Y173" s="10">
        <v>0</v>
      </c>
      <c r="Z173" s="10">
        <v>0</v>
      </c>
      <c r="AA173" s="10">
        <v>0</v>
      </c>
      <c r="AB173" s="10">
        <v>27.272745571658614</v>
      </c>
      <c r="AC173" s="10">
        <v>0</v>
      </c>
      <c r="AD173" s="10">
        <v>0</v>
      </c>
      <c r="AE173" s="10">
        <v>0</v>
      </c>
      <c r="AF173" s="10">
        <v>51.53017241379311</v>
      </c>
      <c r="AG173" s="10">
        <v>0</v>
      </c>
      <c r="AH173" s="10">
        <v>0</v>
      </c>
      <c r="AI173" s="10">
        <v>39.4110813855252</v>
      </c>
      <c r="AJ173" s="10">
        <v>0</v>
      </c>
      <c r="AK173" s="10">
        <v>28.357206803939121</v>
      </c>
      <c r="AL173" s="10">
        <v>0</v>
      </c>
      <c r="AM173" s="10">
        <v>0</v>
      </c>
      <c r="AN173" s="10">
        <v>3</v>
      </c>
      <c r="AO173" s="10">
        <v>1</v>
      </c>
      <c r="AP173" s="10">
        <v>8</v>
      </c>
      <c r="AQ173" s="10">
        <v>0</v>
      </c>
      <c r="AR173" s="10">
        <v>0</v>
      </c>
      <c r="AS173" s="10">
        <v>0</v>
      </c>
      <c r="AT173" s="10">
        <v>4</v>
      </c>
      <c r="AU173" s="10">
        <v>0</v>
      </c>
      <c r="AV173" s="10">
        <v>0</v>
      </c>
      <c r="AW173" s="10">
        <v>0</v>
      </c>
      <c r="AX173" s="10">
        <v>1</v>
      </c>
      <c r="AY173" s="10">
        <v>0</v>
      </c>
      <c r="AZ173" s="10">
        <v>3</v>
      </c>
      <c r="BA173" s="10">
        <v>0</v>
      </c>
      <c r="BB173" s="10">
        <v>0</v>
      </c>
      <c r="BC173" s="10">
        <v>20</v>
      </c>
      <c r="BD173" s="10">
        <v>1</v>
      </c>
      <c r="BE173" s="10">
        <v>0</v>
      </c>
      <c r="BF173" s="10">
        <v>4</v>
      </c>
      <c r="BG173" s="10">
        <v>0</v>
      </c>
      <c r="BH173" s="10">
        <v>0</v>
      </c>
      <c r="BI173" s="10">
        <v>0</v>
      </c>
      <c r="BJ173" s="10">
        <v>0</v>
      </c>
      <c r="BK173" s="10">
        <v>0</v>
      </c>
      <c r="BL173" s="10">
        <v>0</v>
      </c>
      <c r="BM173" s="10">
        <v>0</v>
      </c>
      <c r="BN173" s="10">
        <v>0</v>
      </c>
      <c r="BO173" s="10">
        <v>0</v>
      </c>
      <c r="BP173" s="10">
        <v>0</v>
      </c>
      <c r="BQ173" s="10">
        <v>0</v>
      </c>
      <c r="BR173" s="10">
        <v>0</v>
      </c>
      <c r="BS173" s="10">
        <v>5</v>
      </c>
    </row>
    <row r="174" spans="1:71" x14ac:dyDescent="0.55000000000000004">
      <c r="A174" s="10">
        <v>263</v>
      </c>
      <c r="B174" s="10">
        <v>2022</v>
      </c>
      <c r="C174" s="10">
        <v>2252</v>
      </c>
      <c r="D174" s="10">
        <v>36218</v>
      </c>
      <c r="E174" s="10">
        <v>16449</v>
      </c>
      <c r="F174" s="10">
        <v>4312</v>
      </c>
      <c r="G174" s="10">
        <v>5223</v>
      </c>
      <c r="H174" s="10">
        <v>2752</v>
      </c>
      <c r="I174" s="10">
        <v>12970</v>
      </c>
      <c r="J174" s="10">
        <v>0</v>
      </c>
      <c r="K174" s="10">
        <v>0</v>
      </c>
      <c r="L174" s="10">
        <v>3384</v>
      </c>
      <c r="M174" s="10">
        <v>3242</v>
      </c>
      <c r="N174" s="10">
        <v>0</v>
      </c>
      <c r="O174" s="10">
        <v>2445</v>
      </c>
      <c r="P174" s="10">
        <v>7403</v>
      </c>
      <c r="Q174" s="10">
        <v>2304</v>
      </c>
      <c r="R174" s="10">
        <v>2098</v>
      </c>
      <c r="S174" s="10">
        <v>69871</v>
      </c>
      <c r="T174" s="10">
        <v>31181</v>
      </c>
      <c r="U174" s="10">
        <v>20.764653641207818</v>
      </c>
      <c r="V174" s="10">
        <v>23.624026727041805</v>
      </c>
      <c r="W174" s="10">
        <v>33.641159188034187</v>
      </c>
      <c r="X174" s="10">
        <v>18.839625509149492</v>
      </c>
      <c r="Y174" s="10">
        <v>42.900742115027825</v>
      </c>
      <c r="Z174" s="10">
        <v>18.707256366073139</v>
      </c>
      <c r="AA174" s="10">
        <v>21.977107558139537</v>
      </c>
      <c r="AB174" s="10">
        <v>40.214649190439474</v>
      </c>
      <c r="AC174" s="10">
        <v>49.139687500000001</v>
      </c>
      <c r="AD174" s="10">
        <v>0</v>
      </c>
      <c r="AE174" s="10">
        <v>36.277777777777779</v>
      </c>
      <c r="AF174" s="10">
        <v>46.237816162862423</v>
      </c>
      <c r="AG174" s="10">
        <v>0</v>
      </c>
      <c r="AH174" s="10">
        <v>20.452351738241308</v>
      </c>
      <c r="AI174" s="10">
        <v>52.98527623936242</v>
      </c>
      <c r="AJ174" s="10">
        <v>61.60875211011556</v>
      </c>
      <c r="AK174" s="10">
        <v>28.089409722222221</v>
      </c>
      <c r="AL174" s="10">
        <v>23.153479504289798</v>
      </c>
      <c r="AM174" s="10">
        <v>34.879629629629626</v>
      </c>
      <c r="AN174" s="10">
        <v>1</v>
      </c>
      <c r="AO174" s="10">
        <v>3</v>
      </c>
      <c r="AP174" s="10">
        <v>14</v>
      </c>
      <c r="AQ174" s="10">
        <v>5</v>
      </c>
      <c r="AR174" s="10">
        <v>2</v>
      </c>
      <c r="AS174" s="10">
        <v>1</v>
      </c>
      <c r="AT174" s="10">
        <v>4</v>
      </c>
      <c r="AU174" s="10">
        <v>1</v>
      </c>
      <c r="AV174" s="10">
        <v>0</v>
      </c>
      <c r="AW174" s="10">
        <v>2</v>
      </c>
      <c r="AX174" s="10">
        <v>0</v>
      </c>
      <c r="AY174" s="10">
        <v>0</v>
      </c>
      <c r="AZ174" s="10">
        <v>1</v>
      </c>
      <c r="BA174" s="10">
        <v>0</v>
      </c>
      <c r="BB174" s="10">
        <v>1</v>
      </c>
      <c r="BC174" s="10">
        <v>35</v>
      </c>
      <c r="BD174" s="10">
        <v>1</v>
      </c>
      <c r="BE174" s="10">
        <v>0</v>
      </c>
      <c r="BF174" s="10">
        <v>10</v>
      </c>
      <c r="BG174" s="10">
        <v>4</v>
      </c>
      <c r="BH174" s="10">
        <v>1</v>
      </c>
      <c r="BI174" s="10">
        <v>0</v>
      </c>
      <c r="BJ174" s="10">
        <v>0</v>
      </c>
      <c r="BK174" s="10">
        <v>0</v>
      </c>
      <c r="BL174" s="10">
        <v>0</v>
      </c>
      <c r="BM174" s="10">
        <v>0</v>
      </c>
      <c r="BN174" s="10">
        <v>2</v>
      </c>
      <c r="BO174" s="10">
        <v>0</v>
      </c>
      <c r="BP174" s="10">
        <v>4</v>
      </c>
      <c r="BQ174" s="10">
        <v>2</v>
      </c>
      <c r="BR174" s="10">
        <v>0</v>
      </c>
      <c r="BS174" s="10">
        <v>24</v>
      </c>
    </row>
    <row r="175" spans="1:71" x14ac:dyDescent="0.55000000000000004">
      <c r="A175" s="10">
        <v>121</v>
      </c>
      <c r="B175" s="10">
        <v>2022</v>
      </c>
      <c r="C175" s="10">
        <v>5945</v>
      </c>
      <c r="D175" s="10">
        <v>36345</v>
      </c>
      <c r="E175" s="10">
        <v>24049</v>
      </c>
      <c r="F175" s="10">
        <v>7953</v>
      </c>
      <c r="G175" s="10">
        <v>7902</v>
      </c>
      <c r="H175" s="10">
        <v>2780</v>
      </c>
      <c r="I175" s="10">
        <v>12422</v>
      </c>
      <c r="J175" s="10">
        <v>0</v>
      </c>
      <c r="K175" s="10">
        <v>0</v>
      </c>
      <c r="L175" s="10">
        <v>8007</v>
      </c>
      <c r="M175" s="10">
        <v>14319</v>
      </c>
      <c r="N175" s="10">
        <v>0</v>
      </c>
      <c r="O175" s="10">
        <v>7355</v>
      </c>
      <c r="P175" s="10">
        <v>32444</v>
      </c>
      <c r="Q175" s="10">
        <v>3961</v>
      </c>
      <c r="R175" s="10">
        <v>522</v>
      </c>
      <c r="S175" s="10">
        <v>113965</v>
      </c>
      <c r="T175" s="10">
        <v>50039</v>
      </c>
      <c r="U175" s="10">
        <v>18.773086627417999</v>
      </c>
      <c r="V175" s="10">
        <v>17.618324391250518</v>
      </c>
      <c r="W175" s="10">
        <v>28.589449129732639</v>
      </c>
      <c r="X175" s="10">
        <v>15.394319930142625</v>
      </c>
      <c r="Y175" s="10">
        <v>29.897774424745378</v>
      </c>
      <c r="Z175" s="10">
        <v>14.633510503669957</v>
      </c>
      <c r="AA175" s="10">
        <v>14.70179856115108</v>
      </c>
      <c r="AB175" s="10">
        <v>26.172838512316858</v>
      </c>
      <c r="AC175" s="10">
        <v>46.459770114942522</v>
      </c>
      <c r="AD175" s="10">
        <v>0</v>
      </c>
      <c r="AE175" s="10">
        <v>17.284001498688646</v>
      </c>
      <c r="AF175" s="10">
        <v>34.472030169704588</v>
      </c>
      <c r="AG175" s="10">
        <v>0</v>
      </c>
      <c r="AH175" s="10">
        <v>22.393065941536371</v>
      </c>
      <c r="AI175" s="10">
        <v>32.992232770311922</v>
      </c>
      <c r="AJ175" s="10">
        <v>0</v>
      </c>
      <c r="AK175" s="10">
        <v>27.706639737440039</v>
      </c>
      <c r="AL175" s="10">
        <v>17.651340996168582</v>
      </c>
      <c r="AM175" s="10">
        <v>0</v>
      </c>
      <c r="AN175" s="10">
        <v>2</v>
      </c>
      <c r="AO175" s="10">
        <v>4</v>
      </c>
      <c r="AP175" s="10">
        <v>11</v>
      </c>
      <c r="AQ175" s="10">
        <v>8</v>
      </c>
      <c r="AR175" s="10">
        <v>0</v>
      </c>
      <c r="AS175" s="10">
        <v>2</v>
      </c>
      <c r="AT175" s="10">
        <v>9</v>
      </c>
      <c r="AU175" s="10">
        <v>7</v>
      </c>
      <c r="AV175" s="10">
        <v>0</v>
      </c>
      <c r="AW175" s="10">
        <v>2</v>
      </c>
      <c r="AX175" s="10">
        <v>7</v>
      </c>
      <c r="AY175" s="10">
        <v>0</v>
      </c>
      <c r="AZ175" s="10">
        <v>12</v>
      </c>
      <c r="BA175" s="10">
        <v>3</v>
      </c>
      <c r="BB175" s="10">
        <v>3</v>
      </c>
      <c r="BC175" s="10">
        <v>70</v>
      </c>
      <c r="BD175" s="10">
        <v>1</v>
      </c>
      <c r="BE175" s="10">
        <v>0</v>
      </c>
      <c r="BF175" s="10">
        <v>7</v>
      </c>
      <c r="BG175" s="10">
        <v>4</v>
      </c>
      <c r="BH175" s="10">
        <v>0</v>
      </c>
      <c r="BI175" s="10">
        <v>0</v>
      </c>
      <c r="BJ175" s="10">
        <v>0</v>
      </c>
      <c r="BK175" s="10">
        <v>2</v>
      </c>
      <c r="BL175" s="10">
        <v>0</v>
      </c>
      <c r="BM175" s="10">
        <v>1</v>
      </c>
      <c r="BN175" s="10">
        <v>1</v>
      </c>
      <c r="BO175" s="10">
        <v>0</v>
      </c>
      <c r="BP175" s="10">
        <v>1</v>
      </c>
      <c r="BQ175" s="10">
        <v>0</v>
      </c>
      <c r="BR175" s="10">
        <v>1</v>
      </c>
      <c r="BS175" s="10">
        <v>18</v>
      </c>
    </row>
    <row r="176" spans="1:71" x14ac:dyDescent="0.55000000000000004">
      <c r="A176" s="10">
        <v>423</v>
      </c>
      <c r="B176" s="10">
        <v>2022</v>
      </c>
      <c r="C176" s="10">
        <v>4721</v>
      </c>
      <c r="D176" s="10">
        <v>36365</v>
      </c>
      <c r="E176" s="10">
        <v>16420</v>
      </c>
      <c r="F176" s="10">
        <v>4240</v>
      </c>
      <c r="G176" s="10">
        <v>7366</v>
      </c>
      <c r="H176" s="10">
        <v>726</v>
      </c>
      <c r="I176" s="10">
        <v>10875</v>
      </c>
      <c r="J176" s="10">
        <v>0</v>
      </c>
      <c r="K176" s="10">
        <v>0</v>
      </c>
      <c r="L176" s="10">
        <v>1516</v>
      </c>
      <c r="M176" s="10">
        <v>5630</v>
      </c>
      <c r="N176" s="10">
        <v>0</v>
      </c>
      <c r="O176" s="10">
        <v>2528</v>
      </c>
      <c r="P176" s="10">
        <v>10372</v>
      </c>
      <c r="Q176" s="10">
        <v>0</v>
      </c>
      <c r="R176" s="10">
        <v>0</v>
      </c>
      <c r="S176" s="10">
        <v>69479</v>
      </c>
      <c r="T176" s="10">
        <v>31280</v>
      </c>
      <c r="U176" s="10">
        <v>20.044270281719974</v>
      </c>
      <c r="V176" s="10">
        <v>23.131307575965902</v>
      </c>
      <c r="W176" s="10">
        <v>0</v>
      </c>
      <c r="X176" s="10">
        <v>11.848051157125456</v>
      </c>
      <c r="Y176" s="10">
        <v>39.603537735849059</v>
      </c>
      <c r="Z176" s="10">
        <v>17.450991039913113</v>
      </c>
      <c r="AA176" s="10">
        <v>15.899449035812673</v>
      </c>
      <c r="AB176" s="10">
        <v>33.348413793103447</v>
      </c>
      <c r="AC176" s="10">
        <v>0</v>
      </c>
      <c r="AD176" s="10">
        <v>0</v>
      </c>
      <c r="AE176" s="10">
        <v>0</v>
      </c>
      <c r="AF176" s="10">
        <v>21.39449378330373</v>
      </c>
      <c r="AG176" s="10">
        <v>0</v>
      </c>
      <c r="AH176" s="10">
        <v>22.534810126582279</v>
      </c>
      <c r="AI176" s="10">
        <v>53.395198611646741</v>
      </c>
      <c r="AJ176" s="10">
        <v>0</v>
      </c>
      <c r="AK176" s="10">
        <v>0</v>
      </c>
      <c r="AL176" s="10">
        <v>0</v>
      </c>
      <c r="AM176" s="10">
        <v>0</v>
      </c>
      <c r="AN176" s="10">
        <v>2</v>
      </c>
      <c r="AO176" s="10">
        <v>2</v>
      </c>
      <c r="AP176" s="10">
        <v>13</v>
      </c>
      <c r="AQ176" s="10">
        <v>7</v>
      </c>
      <c r="AR176" s="10">
        <v>3</v>
      </c>
      <c r="AS176" s="10">
        <v>0</v>
      </c>
      <c r="AT176" s="10">
        <v>4</v>
      </c>
      <c r="AU176" s="10">
        <v>1</v>
      </c>
      <c r="AV176" s="10">
        <v>0</v>
      </c>
      <c r="AW176" s="10">
        <v>0</v>
      </c>
      <c r="AX176" s="10">
        <v>1</v>
      </c>
      <c r="AY176" s="10">
        <v>0</v>
      </c>
      <c r="AZ176" s="10">
        <v>7</v>
      </c>
      <c r="BA176" s="10">
        <v>0</v>
      </c>
      <c r="BB176" s="10">
        <v>0</v>
      </c>
      <c r="BC176" s="10">
        <v>40</v>
      </c>
      <c r="BD176" s="10">
        <v>3</v>
      </c>
      <c r="BE176" s="10">
        <v>0</v>
      </c>
      <c r="BF176" s="10">
        <v>19</v>
      </c>
      <c r="BG176" s="10">
        <v>6</v>
      </c>
      <c r="BH176" s="10">
        <v>5</v>
      </c>
      <c r="BI176" s="10">
        <v>1</v>
      </c>
      <c r="BJ176" s="10">
        <v>2</v>
      </c>
      <c r="BK176" s="10">
        <v>0</v>
      </c>
      <c r="BL176" s="10">
        <v>0</v>
      </c>
      <c r="BM176" s="10">
        <v>1</v>
      </c>
      <c r="BN176" s="10">
        <v>0</v>
      </c>
      <c r="BO176" s="10">
        <v>0</v>
      </c>
      <c r="BP176" s="10">
        <v>4</v>
      </c>
      <c r="BQ176" s="10">
        <v>0</v>
      </c>
      <c r="BR176" s="10">
        <v>0</v>
      </c>
      <c r="BS176" s="10">
        <v>41</v>
      </c>
    </row>
    <row r="177" spans="1:71" x14ac:dyDescent="0.55000000000000004">
      <c r="A177" s="10">
        <v>783</v>
      </c>
      <c r="B177" s="10">
        <v>2022</v>
      </c>
      <c r="C177" s="10">
        <v>11168</v>
      </c>
      <c r="D177" s="10">
        <v>36519</v>
      </c>
      <c r="E177" s="10">
        <v>24687</v>
      </c>
      <c r="F177" s="10">
        <v>10109</v>
      </c>
      <c r="G177" s="10">
        <v>11202</v>
      </c>
      <c r="H177" s="10">
        <v>5693</v>
      </c>
      <c r="I177" s="10">
        <v>7560</v>
      </c>
      <c r="J177" s="10">
        <v>0</v>
      </c>
      <c r="K177" s="10">
        <v>0</v>
      </c>
      <c r="L177" s="10">
        <v>7070</v>
      </c>
      <c r="M177" s="10">
        <v>5647</v>
      </c>
      <c r="N177" s="10">
        <v>2160</v>
      </c>
      <c r="O177" s="10">
        <v>5888</v>
      </c>
      <c r="P177" s="10">
        <v>9027</v>
      </c>
      <c r="Q177" s="10">
        <v>1944</v>
      </c>
      <c r="R177" s="10">
        <v>21719</v>
      </c>
      <c r="S177" s="10">
        <v>102814</v>
      </c>
      <c r="T177" s="10">
        <v>57579</v>
      </c>
      <c r="U177" s="10">
        <v>14.826468481375358</v>
      </c>
      <c r="V177" s="10">
        <v>19.824803526931188</v>
      </c>
      <c r="W177" s="10">
        <v>30.608333333333334</v>
      </c>
      <c r="X177" s="10">
        <v>13.796046502207638</v>
      </c>
      <c r="Y177" s="10">
        <v>24.095657335047978</v>
      </c>
      <c r="Z177" s="10">
        <v>13.501963935011604</v>
      </c>
      <c r="AA177" s="10">
        <v>11.846302476725803</v>
      </c>
      <c r="AB177" s="10">
        <v>32.152645502645498</v>
      </c>
      <c r="AC177" s="10">
        <v>46.896481178396073</v>
      </c>
      <c r="AD177" s="10">
        <v>0</v>
      </c>
      <c r="AE177" s="10">
        <v>17.74130127298444</v>
      </c>
      <c r="AF177" s="10">
        <v>40.834248273419512</v>
      </c>
      <c r="AG177" s="10">
        <v>26.37824074074074</v>
      </c>
      <c r="AH177" s="10">
        <v>22.516304347826086</v>
      </c>
      <c r="AI177" s="10">
        <v>37.333554890882908</v>
      </c>
      <c r="AJ177" s="10">
        <v>57.877144818119419</v>
      </c>
      <c r="AK177" s="10">
        <v>23.413580246913583</v>
      </c>
      <c r="AL177" s="10">
        <v>22.061605046272849</v>
      </c>
      <c r="AM177" s="10">
        <v>0</v>
      </c>
      <c r="AN177" s="10">
        <v>4</v>
      </c>
      <c r="AO177" s="10">
        <v>5</v>
      </c>
      <c r="AP177" s="10">
        <v>9</v>
      </c>
      <c r="AQ177" s="10">
        <v>6</v>
      </c>
      <c r="AR177" s="10">
        <v>3</v>
      </c>
      <c r="AS177" s="10">
        <v>0</v>
      </c>
      <c r="AT177" s="10">
        <v>2</v>
      </c>
      <c r="AU177" s="10">
        <v>2</v>
      </c>
      <c r="AV177" s="10">
        <v>0</v>
      </c>
      <c r="AW177" s="10">
        <v>1</v>
      </c>
      <c r="AX177" s="10">
        <v>2</v>
      </c>
      <c r="AY177" s="10">
        <v>1</v>
      </c>
      <c r="AZ177" s="10">
        <v>3</v>
      </c>
      <c r="BA177" s="10">
        <v>1</v>
      </c>
      <c r="BB177" s="10">
        <v>3</v>
      </c>
      <c r="BC177" s="10">
        <v>42</v>
      </c>
      <c r="BD177" s="10">
        <v>6</v>
      </c>
      <c r="BE177" s="10">
        <v>0</v>
      </c>
      <c r="BF177" s="10">
        <v>20</v>
      </c>
      <c r="BG177" s="10">
        <v>13</v>
      </c>
      <c r="BH177" s="10">
        <v>6</v>
      </c>
      <c r="BI177" s="10">
        <v>7</v>
      </c>
      <c r="BJ177" s="10">
        <v>2</v>
      </c>
      <c r="BK177" s="10">
        <v>1</v>
      </c>
      <c r="BL177" s="10">
        <v>0</v>
      </c>
      <c r="BM177" s="10">
        <v>2</v>
      </c>
      <c r="BN177" s="10">
        <v>0</v>
      </c>
      <c r="BO177" s="10">
        <v>1</v>
      </c>
      <c r="BP177" s="10">
        <v>1</v>
      </c>
      <c r="BQ177" s="10">
        <v>0</v>
      </c>
      <c r="BR177" s="10">
        <v>1</v>
      </c>
      <c r="BS177" s="10">
        <v>60</v>
      </c>
    </row>
    <row r="178" spans="1:71" x14ac:dyDescent="0.55000000000000004">
      <c r="A178" s="10">
        <v>174</v>
      </c>
      <c r="B178" s="10">
        <v>2022</v>
      </c>
      <c r="C178" s="10">
        <v>7879</v>
      </c>
      <c r="D178" s="10">
        <v>36759</v>
      </c>
      <c r="E178" s="10">
        <v>16483</v>
      </c>
      <c r="F178" s="10">
        <v>16223</v>
      </c>
      <c r="G178" s="10">
        <v>6174</v>
      </c>
      <c r="H178" s="10">
        <v>4575</v>
      </c>
      <c r="I178" s="10">
        <v>14944</v>
      </c>
      <c r="J178" s="10">
        <v>26</v>
      </c>
      <c r="K178" s="10">
        <v>0</v>
      </c>
      <c r="L178" s="10">
        <v>0</v>
      </c>
      <c r="M178" s="10">
        <v>12101</v>
      </c>
      <c r="N178" s="10">
        <v>0</v>
      </c>
      <c r="O178" s="10">
        <v>2913</v>
      </c>
      <c r="P178" s="10">
        <v>6737</v>
      </c>
      <c r="Q178" s="10">
        <v>2117</v>
      </c>
      <c r="R178" s="10">
        <v>3227</v>
      </c>
      <c r="S178" s="10">
        <v>83790</v>
      </c>
      <c r="T178" s="10">
        <v>46368</v>
      </c>
      <c r="U178" s="10">
        <v>21.567457799213098</v>
      </c>
      <c r="V178" s="10">
        <v>23.781903751462224</v>
      </c>
      <c r="W178" s="10">
        <v>34.194915254237287</v>
      </c>
      <c r="X178" s="10">
        <v>0</v>
      </c>
      <c r="Y178" s="10">
        <v>0</v>
      </c>
      <c r="Z178" s="10">
        <v>0</v>
      </c>
      <c r="AA178" s="10">
        <v>0</v>
      </c>
      <c r="AB178" s="10">
        <v>32.928198608137045</v>
      </c>
      <c r="AC178" s="10">
        <v>47.455882352941174</v>
      </c>
      <c r="AD178" s="10">
        <v>0</v>
      </c>
      <c r="AE178" s="10">
        <v>0</v>
      </c>
      <c r="AF178" s="10">
        <v>36.054788860424758</v>
      </c>
      <c r="AG178" s="10">
        <v>0</v>
      </c>
      <c r="AH178" s="10">
        <v>0</v>
      </c>
      <c r="AI178" s="10">
        <v>31.400771856909607</v>
      </c>
      <c r="AJ178" s="10">
        <v>62.609971435990651</v>
      </c>
      <c r="AK178" s="10">
        <v>34.108644307982992</v>
      </c>
      <c r="AL178" s="10">
        <v>29.415556244189652</v>
      </c>
      <c r="AM178" s="10">
        <v>37.194312796208536</v>
      </c>
      <c r="AN178" s="10">
        <v>3</v>
      </c>
      <c r="AO178" s="10">
        <v>0</v>
      </c>
      <c r="AP178" s="10">
        <v>14</v>
      </c>
      <c r="AQ178" s="10">
        <v>7</v>
      </c>
      <c r="AR178" s="10">
        <v>4</v>
      </c>
      <c r="AS178" s="10">
        <v>2</v>
      </c>
      <c r="AT178" s="10">
        <v>7</v>
      </c>
      <c r="AU178" s="10">
        <v>1</v>
      </c>
      <c r="AV178" s="10">
        <v>0</v>
      </c>
      <c r="AW178" s="10">
        <v>0</v>
      </c>
      <c r="AX178" s="10">
        <v>5</v>
      </c>
      <c r="AY178" s="10">
        <v>1</v>
      </c>
      <c r="AZ178" s="10">
        <v>2</v>
      </c>
      <c r="BA178" s="10">
        <v>1</v>
      </c>
      <c r="BB178" s="10">
        <v>1</v>
      </c>
      <c r="BC178" s="10">
        <v>48</v>
      </c>
      <c r="BD178" s="10">
        <v>2</v>
      </c>
      <c r="BE178" s="10">
        <v>1</v>
      </c>
      <c r="BF178" s="10">
        <v>17</v>
      </c>
      <c r="BG178" s="10">
        <v>8</v>
      </c>
      <c r="BH178" s="10">
        <v>1</v>
      </c>
      <c r="BI178" s="10">
        <v>2</v>
      </c>
      <c r="BJ178" s="10">
        <v>0</v>
      </c>
      <c r="BK178" s="10">
        <v>0</v>
      </c>
      <c r="BL178" s="10">
        <v>0</v>
      </c>
      <c r="BM178" s="10">
        <v>5</v>
      </c>
      <c r="BN178" s="10">
        <v>1</v>
      </c>
      <c r="BO178" s="10">
        <v>8</v>
      </c>
      <c r="BP178" s="10">
        <v>0</v>
      </c>
      <c r="BQ178" s="10">
        <v>0</v>
      </c>
      <c r="BR178" s="10">
        <v>1</v>
      </c>
      <c r="BS178" s="10">
        <v>46</v>
      </c>
    </row>
    <row r="179" spans="1:71" x14ac:dyDescent="0.55000000000000004">
      <c r="A179" s="10">
        <v>431</v>
      </c>
      <c r="B179" s="10">
        <v>2022</v>
      </c>
      <c r="C179" s="10">
        <v>577</v>
      </c>
      <c r="D179" s="10">
        <v>36862</v>
      </c>
      <c r="E179" s="10">
        <v>20928</v>
      </c>
      <c r="F179" s="10">
        <v>2080</v>
      </c>
      <c r="G179" s="10">
        <v>12874</v>
      </c>
      <c r="H179" s="10">
        <v>5101</v>
      </c>
      <c r="I179" s="10">
        <v>8218</v>
      </c>
      <c r="J179" s="10">
        <v>0</v>
      </c>
      <c r="K179" s="10">
        <v>0</v>
      </c>
      <c r="L179" s="10">
        <v>0</v>
      </c>
      <c r="M179" s="10">
        <v>7436</v>
      </c>
      <c r="N179" s="10">
        <v>0</v>
      </c>
      <c r="O179" s="10">
        <v>4435</v>
      </c>
      <c r="P179" s="10">
        <v>8865</v>
      </c>
      <c r="Q179" s="10">
        <v>3841</v>
      </c>
      <c r="R179" s="10">
        <v>5277</v>
      </c>
      <c r="S179" s="10">
        <v>71076</v>
      </c>
      <c r="T179" s="10">
        <v>45418</v>
      </c>
      <c r="U179" s="10">
        <v>15.961871750433275</v>
      </c>
      <c r="V179" s="10">
        <v>20.44061635288373</v>
      </c>
      <c r="W179" s="10">
        <v>32.368168744007669</v>
      </c>
      <c r="X179" s="10">
        <v>0</v>
      </c>
      <c r="Y179" s="10">
        <v>0</v>
      </c>
      <c r="Z179" s="10">
        <v>0</v>
      </c>
      <c r="AA179" s="10">
        <v>0</v>
      </c>
      <c r="AB179" s="10">
        <v>27.215380871258212</v>
      </c>
      <c r="AC179" s="10">
        <v>0</v>
      </c>
      <c r="AD179" s="10">
        <v>0</v>
      </c>
      <c r="AE179" s="10">
        <v>0</v>
      </c>
      <c r="AF179" s="10">
        <v>45.520441097364177</v>
      </c>
      <c r="AG179" s="10">
        <v>0</v>
      </c>
      <c r="AH179" s="10">
        <v>0</v>
      </c>
      <c r="AI179" s="10">
        <v>36.198646362098138</v>
      </c>
      <c r="AJ179" s="10">
        <v>61.276705276705272</v>
      </c>
      <c r="AK179" s="10">
        <v>23.322051549075763</v>
      </c>
      <c r="AL179" s="10">
        <v>22.018950161076372</v>
      </c>
      <c r="AM179" s="10">
        <v>0</v>
      </c>
      <c r="AN179" s="10">
        <v>0</v>
      </c>
      <c r="AO179" s="10">
        <v>1</v>
      </c>
      <c r="AP179" s="10">
        <v>14</v>
      </c>
      <c r="AQ179" s="10">
        <v>9</v>
      </c>
      <c r="AR179" s="10">
        <v>6</v>
      </c>
      <c r="AS179" s="10">
        <v>3</v>
      </c>
      <c r="AT179" s="10">
        <v>5</v>
      </c>
      <c r="AU179" s="10">
        <v>2</v>
      </c>
      <c r="AV179" s="10">
        <v>0</v>
      </c>
      <c r="AW179" s="10">
        <v>0</v>
      </c>
      <c r="AX179" s="10">
        <v>4</v>
      </c>
      <c r="AY179" s="10">
        <v>0</v>
      </c>
      <c r="AZ179" s="10">
        <v>2</v>
      </c>
      <c r="BA179" s="10">
        <v>2</v>
      </c>
      <c r="BB179" s="10">
        <v>2</v>
      </c>
      <c r="BC179" s="10">
        <v>50</v>
      </c>
      <c r="BD179" s="10">
        <v>2</v>
      </c>
      <c r="BE179" s="10">
        <v>0</v>
      </c>
      <c r="BF179" s="10">
        <v>18</v>
      </c>
      <c r="BG179" s="10">
        <v>7</v>
      </c>
      <c r="BH179" s="10">
        <v>3</v>
      </c>
      <c r="BI179" s="10">
        <v>0</v>
      </c>
      <c r="BJ179" s="10">
        <v>1</v>
      </c>
      <c r="BK179" s="10">
        <v>1</v>
      </c>
      <c r="BL179" s="10">
        <v>0</v>
      </c>
      <c r="BM179" s="10">
        <v>1</v>
      </c>
      <c r="BN179" s="10">
        <v>0</v>
      </c>
      <c r="BO179" s="10">
        <v>0</v>
      </c>
      <c r="BP179" s="10">
        <v>2</v>
      </c>
      <c r="BQ179" s="10">
        <v>0</v>
      </c>
      <c r="BR179" s="10">
        <v>1</v>
      </c>
      <c r="BS179" s="10">
        <v>36</v>
      </c>
    </row>
    <row r="180" spans="1:71" x14ac:dyDescent="0.55000000000000004">
      <c r="A180" s="10">
        <v>934</v>
      </c>
      <c r="B180" s="10">
        <v>2022</v>
      </c>
      <c r="C180" s="10">
        <v>9665</v>
      </c>
      <c r="D180" s="10">
        <v>37451</v>
      </c>
      <c r="E180" s="10">
        <v>18896</v>
      </c>
      <c r="F180" s="10">
        <v>10550</v>
      </c>
      <c r="G180" s="10">
        <v>15429</v>
      </c>
      <c r="H180" s="10">
        <v>2705</v>
      </c>
      <c r="I180" s="10">
        <v>15468</v>
      </c>
      <c r="J180" s="10">
        <v>2126</v>
      </c>
      <c r="K180" s="10">
        <v>0</v>
      </c>
      <c r="L180" s="10">
        <v>7571</v>
      </c>
      <c r="M180" s="10">
        <v>5789</v>
      </c>
      <c r="N180" s="10">
        <v>1102</v>
      </c>
      <c r="O180" s="10">
        <v>2187</v>
      </c>
      <c r="P180" s="10">
        <v>20488</v>
      </c>
      <c r="Q180" s="10">
        <v>4185</v>
      </c>
      <c r="R180" s="10">
        <v>5322</v>
      </c>
      <c r="S180" s="10">
        <v>109167</v>
      </c>
      <c r="T180" s="10">
        <v>49767</v>
      </c>
      <c r="U180" s="10">
        <v>19.898913605794103</v>
      </c>
      <c r="V180" s="10">
        <v>23.201970574884513</v>
      </c>
      <c r="W180" s="10">
        <v>20.368088467614534</v>
      </c>
      <c r="X180" s="10">
        <v>17.774396697713801</v>
      </c>
      <c r="Y180" s="10">
        <v>29.790805687203793</v>
      </c>
      <c r="Z180" s="10">
        <v>18.442348823643787</v>
      </c>
      <c r="AA180" s="10">
        <v>15.391497227356746</v>
      </c>
      <c r="AB180" s="10">
        <v>32.275924489268171</v>
      </c>
      <c r="AC180" s="10">
        <v>26.64952761627907</v>
      </c>
      <c r="AD180" s="10">
        <v>0</v>
      </c>
      <c r="AE180" s="10">
        <v>23.629111081759344</v>
      </c>
      <c r="AF180" s="10">
        <v>45.984971497667985</v>
      </c>
      <c r="AG180" s="10">
        <v>28.053539019963701</v>
      </c>
      <c r="AH180" s="10">
        <v>23.07818930041152</v>
      </c>
      <c r="AI180" s="10">
        <v>39.874609527528307</v>
      </c>
      <c r="AJ180" s="10">
        <v>20.67740080506038</v>
      </c>
      <c r="AK180" s="10">
        <v>29.130943847072881</v>
      </c>
      <c r="AL180" s="10">
        <v>23.444006012777152</v>
      </c>
      <c r="AM180" s="10">
        <v>0</v>
      </c>
      <c r="AN180" s="10">
        <v>4</v>
      </c>
      <c r="AO180" s="10">
        <v>4</v>
      </c>
      <c r="AP180" s="10">
        <v>17</v>
      </c>
      <c r="AQ180" s="10">
        <v>10</v>
      </c>
      <c r="AR180" s="10">
        <v>9</v>
      </c>
      <c r="AS180" s="10">
        <v>1</v>
      </c>
      <c r="AT180" s="10">
        <v>7</v>
      </c>
      <c r="AU180" s="10">
        <v>2</v>
      </c>
      <c r="AV180" s="10">
        <v>0</v>
      </c>
      <c r="AW180" s="10">
        <v>3</v>
      </c>
      <c r="AX180" s="10">
        <v>3</v>
      </c>
      <c r="AY180" s="10">
        <v>1</v>
      </c>
      <c r="AZ180" s="10">
        <v>9</v>
      </c>
      <c r="BA180" s="10">
        <v>3</v>
      </c>
      <c r="BB180" s="10">
        <v>0</v>
      </c>
      <c r="BC180" s="10">
        <v>73</v>
      </c>
      <c r="BD180" s="10">
        <v>2</v>
      </c>
      <c r="BE180" s="10">
        <v>5</v>
      </c>
      <c r="BF180" s="10">
        <v>4</v>
      </c>
      <c r="BG180" s="10">
        <v>14</v>
      </c>
      <c r="BH180" s="10">
        <v>0</v>
      </c>
      <c r="BI180" s="10">
        <v>1</v>
      </c>
      <c r="BJ180" s="10">
        <v>4</v>
      </c>
      <c r="BK180" s="10">
        <v>0</v>
      </c>
      <c r="BL180" s="10">
        <v>0</v>
      </c>
      <c r="BM180" s="10">
        <v>1</v>
      </c>
      <c r="BN180" s="10">
        <v>0</v>
      </c>
      <c r="BO180" s="10">
        <v>0</v>
      </c>
      <c r="BP180" s="10">
        <v>1</v>
      </c>
      <c r="BQ180" s="10">
        <v>0</v>
      </c>
      <c r="BR180" s="10">
        <v>0</v>
      </c>
      <c r="BS180" s="10">
        <v>32</v>
      </c>
    </row>
    <row r="181" spans="1:71" x14ac:dyDescent="0.55000000000000004">
      <c r="A181" s="10">
        <v>240</v>
      </c>
      <c r="B181" s="10">
        <v>2022</v>
      </c>
      <c r="C181" s="10">
        <v>8551</v>
      </c>
      <c r="D181" s="10">
        <v>37567</v>
      </c>
      <c r="E181" s="10">
        <v>12416</v>
      </c>
      <c r="F181" s="10">
        <v>5950</v>
      </c>
      <c r="G181" s="10">
        <v>4743</v>
      </c>
      <c r="H181" s="10">
        <v>2804</v>
      </c>
      <c r="I181" s="10">
        <v>11610</v>
      </c>
      <c r="J181" s="10">
        <v>0</v>
      </c>
      <c r="K181" s="10">
        <v>0</v>
      </c>
      <c r="L181" s="10">
        <v>1943</v>
      </c>
      <c r="M181" s="10">
        <v>6161</v>
      </c>
      <c r="N181" s="10">
        <v>0</v>
      </c>
      <c r="O181" s="10">
        <v>2415</v>
      </c>
      <c r="P181" s="10">
        <v>7222</v>
      </c>
      <c r="Q181" s="10">
        <v>2052</v>
      </c>
      <c r="R181" s="10">
        <v>13004</v>
      </c>
      <c r="S181" s="10">
        <v>88110</v>
      </c>
      <c r="T181" s="10">
        <v>28328</v>
      </c>
      <c r="U181" s="10">
        <v>21.60413986668226</v>
      </c>
      <c r="V181" s="10">
        <v>22.593685947773313</v>
      </c>
      <c r="W181" s="10">
        <v>0</v>
      </c>
      <c r="X181" s="10">
        <v>19.973501932989691</v>
      </c>
      <c r="Y181" s="10">
        <v>38.64806722689076</v>
      </c>
      <c r="Z181" s="10">
        <v>19.129664769133459</v>
      </c>
      <c r="AA181" s="10">
        <v>23.381954350927245</v>
      </c>
      <c r="AB181" s="10">
        <v>35.77588285960379</v>
      </c>
      <c r="AC181" s="10">
        <v>0</v>
      </c>
      <c r="AD181" s="10">
        <v>0</v>
      </c>
      <c r="AE181" s="10">
        <v>27.226968605249613</v>
      </c>
      <c r="AF181" s="10">
        <v>43.356922577503653</v>
      </c>
      <c r="AG181" s="10">
        <v>0</v>
      </c>
      <c r="AH181" s="10">
        <v>27.902277432712218</v>
      </c>
      <c r="AI181" s="10">
        <v>34.834256438659651</v>
      </c>
      <c r="AJ181" s="10">
        <v>0</v>
      </c>
      <c r="AK181" s="10">
        <v>31.977582846003898</v>
      </c>
      <c r="AL181" s="10">
        <v>24.773685019993849</v>
      </c>
      <c r="AM181" s="10">
        <v>0</v>
      </c>
      <c r="AN181" s="10">
        <v>5</v>
      </c>
      <c r="AO181" s="10">
        <v>2</v>
      </c>
      <c r="AP181" s="10">
        <v>13</v>
      </c>
      <c r="AQ181" s="10">
        <v>6</v>
      </c>
      <c r="AR181" s="10">
        <v>2</v>
      </c>
      <c r="AS181" s="10">
        <v>1</v>
      </c>
      <c r="AT181" s="10">
        <v>6</v>
      </c>
      <c r="AU181" s="10">
        <v>1</v>
      </c>
      <c r="AV181" s="10">
        <v>0</v>
      </c>
      <c r="AW181" s="10">
        <v>1</v>
      </c>
      <c r="AX181" s="10">
        <v>2</v>
      </c>
      <c r="AY181" s="10">
        <v>0</v>
      </c>
      <c r="AZ181" s="10">
        <v>4</v>
      </c>
      <c r="BA181" s="10">
        <v>1</v>
      </c>
      <c r="BB181" s="10">
        <v>6</v>
      </c>
      <c r="BC181" s="10">
        <v>50</v>
      </c>
      <c r="BD181" s="10">
        <v>4</v>
      </c>
      <c r="BE181" s="10">
        <v>1</v>
      </c>
      <c r="BF181" s="10">
        <v>9</v>
      </c>
      <c r="BG181" s="10">
        <v>3</v>
      </c>
      <c r="BH181" s="10">
        <v>2</v>
      </c>
      <c r="BI181" s="10">
        <v>0</v>
      </c>
      <c r="BJ181" s="10">
        <v>2</v>
      </c>
      <c r="BK181" s="10">
        <v>1</v>
      </c>
      <c r="BL181" s="10">
        <v>0</v>
      </c>
      <c r="BM181" s="10">
        <v>0</v>
      </c>
      <c r="BN181" s="10">
        <v>0</v>
      </c>
      <c r="BO181" s="10">
        <v>0</v>
      </c>
      <c r="BP181" s="10">
        <v>2</v>
      </c>
      <c r="BQ181" s="10">
        <v>0</v>
      </c>
      <c r="BR181" s="10">
        <v>2</v>
      </c>
      <c r="BS181" s="10">
        <v>26</v>
      </c>
    </row>
    <row r="182" spans="1:71" x14ac:dyDescent="0.55000000000000004">
      <c r="A182" s="10">
        <v>399</v>
      </c>
      <c r="B182" s="10">
        <v>2022</v>
      </c>
      <c r="C182" s="10">
        <v>7481</v>
      </c>
      <c r="D182" s="10">
        <v>37603</v>
      </c>
      <c r="E182" s="10">
        <v>17963</v>
      </c>
      <c r="F182" s="10">
        <v>6765</v>
      </c>
      <c r="G182" s="10">
        <v>5601</v>
      </c>
      <c r="H182" s="10">
        <v>1918</v>
      </c>
      <c r="I182" s="10">
        <v>18880</v>
      </c>
      <c r="J182" s="10">
        <v>0</v>
      </c>
      <c r="K182" s="10">
        <v>0</v>
      </c>
      <c r="L182" s="10">
        <v>6483</v>
      </c>
      <c r="M182" s="10">
        <v>13332</v>
      </c>
      <c r="N182" s="10">
        <v>607</v>
      </c>
      <c r="O182" s="10">
        <v>4584</v>
      </c>
      <c r="P182" s="10">
        <v>21423</v>
      </c>
      <c r="Q182" s="10">
        <v>4251</v>
      </c>
      <c r="R182" s="10">
        <v>8594</v>
      </c>
      <c r="S182" s="10">
        <v>118654</v>
      </c>
      <c r="T182" s="10">
        <v>36831</v>
      </c>
      <c r="U182" s="10">
        <v>20.081272557144764</v>
      </c>
      <c r="V182" s="10">
        <v>18.10363534824349</v>
      </c>
      <c r="W182" s="10">
        <v>29.762160067179124</v>
      </c>
      <c r="X182" s="10">
        <v>21.249735567555533</v>
      </c>
      <c r="Y182" s="10">
        <v>28.792461197339243</v>
      </c>
      <c r="Z182" s="10">
        <v>15.4336725584717</v>
      </c>
      <c r="AA182" s="10">
        <v>15.153806047966631</v>
      </c>
      <c r="AB182" s="10">
        <v>25.468008474576273</v>
      </c>
      <c r="AC182" s="10">
        <v>46.560360920970751</v>
      </c>
      <c r="AD182" s="10">
        <v>0</v>
      </c>
      <c r="AE182" s="10">
        <v>21.970846830171215</v>
      </c>
      <c r="AF182" s="10">
        <v>37.540654065406542</v>
      </c>
      <c r="AG182" s="10">
        <v>30.914332784184513</v>
      </c>
      <c r="AH182" s="10">
        <v>30.258507853403138</v>
      </c>
      <c r="AI182" s="10">
        <v>33.755589786677866</v>
      </c>
      <c r="AJ182" s="10">
        <v>0</v>
      </c>
      <c r="AK182" s="10">
        <v>29.034344860032931</v>
      </c>
      <c r="AL182" s="10">
        <v>18.380498021875727</v>
      </c>
      <c r="AM182" s="10">
        <v>0</v>
      </c>
      <c r="AN182" s="10">
        <v>3</v>
      </c>
      <c r="AO182" s="10">
        <v>5</v>
      </c>
      <c r="AP182" s="10">
        <v>14</v>
      </c>
      <c r="AQ182" s="10">
        <v>7</v>
      </c>
      <c r="AR182" s="10">
        <v>0</v>
      </c>
      <c r="AS182" s="10">
        <v>1</v>
      </c>
      <c r="AT182" s="10">
        <v>6</v>
      </c>
      <c r="AU182" s="10">
        <v>6</v>
      </c>
      <c r="AV182" s="10">
        <v>0</v>
      </c>
      <c r="AW182" s="10">
        <v>2</v>
      </c>
      <c r="AX182" s="10">
        <v>6</v>
      </c>
      <c r="AY182" s="10">
        <v>0</v>
      </c>
      <c r="AZ182" s="10">
        <v>3</v>
      </c>
      <c r="BA182" s="10">
        <v>2</v>
      </c>
      <c r="BB182" s="10">
        <v>2</v>
      </c>
      <c r="BC182" s="10">
        <v>57</v>
      </c>
      <c r="BD182" s="10">
        <v>0</v>
      </c>
      <c r="BE182" s="10">
        <v>0</v>
      </c>
      <c r="BF182" s="10">
        <v>6</v>
      </c>
      <c r="BG182" s="10">
        <v>4</v>
      </c>
      <c r="BH182" s="10">
        <v>0</v>
      </c>
      <c r="BI182" s="10">
        <v>0</v>
      </c>
      <c r="BJ182" s="10">
        <v>0</v>
      </c>
      <c r="BK182" s="10">
        <v>0</v>
      </c>
      <c r="BL182" s="10">
        <v>0</v>
      </c>
      <c r="BM182" s="10">
        <v>0</v>
      </c>
      <c r="BN182" s="10">
        <v>0</v>
      </c>
      <c r="BO182" s="10">
        <v>1</v>
      </c>
      <c r="BP182" s="10">
        <v>1</v>
      </c>
      <c r="BQ182" s="10">
        <v>0</v>
      </c>
      <c r="BR182" s="10">
        <v>0</v>
      </c>
      <c r="BS182" s="10">
        <v>12</v>
      </c>
    </row>
    <row r="183" spans="1:71" x14ac:dyDescent="0.55000000000000004">
      <c r="A183" s="10">
        <v>529</v>
      </c>
      <c r="B183" s="10">
        <v>2022</v>
      </c>
      <c r="C183" s="10">
        <v>7965</v>
      </c>
      <c r="D183" s="10">
        <v>37669</v>
      </c>
      <c r="E183" s="10">
        <v>35223</v>
      </c>
      <c r="F183" s="10">
        <v>9455</v>
      </c>
      <c r="G183" s="10">
        <v>4866</v>
      </c>
      <c r="H183" s="10">
        <v>4859</v>
      </c>
      <c r="I183" s="10">
        <v>12617</v>
      </c>
      <c r="J183" s="10">
        <v>0</v>
      </c>
      <c r="K183" s="10">
        <v>0</v>
      </c>
      <c r="L183" s="10">
        <v>4333</v>
      </c>
      <c r="M183" s="10">
        <v>17586</v>
      </c>
      <c r="N183" s="10">
        <v>4144</v>
      </c>
      <c r="O183" s="10">
        <v>2864</v>
      </c>
      <c r="P183" s="10">
        <v>13257</v>
      </c>
      <c r="Q183" s="10">
        <v>1961</v>
      </c>
      <c r="R183" s="10">
        <v>14589</v>
      </c>
      <c r="S183" s="10">
        <v>114121</v>
      </c>
      <c r="T183" s="10">
        <v>57267</v>
      </c>
      <c r="U183" s="10">
        <v>18.745888261142497</v>
      </c>
      <c r="V183" s="10">
        <v>24.845841408054369</v>
      </c>
      <c r="W183" s="10">
        <v>33.564566115702483</v>
      </c>
      <c r="X183" s="10">
        <v>9.2615336569854918</v>
      </c>
      <c r="Y183" s="10">
        <v>22.950819672131146</v>
      </c>
      <c r="Z183" s="10">
        <v>22.347102342786684</v>
      </c>
      <c r="AA183" s="10">
        <v>15.026754476229677</v>
      </c>
      <c r="AB183" s="10">
        <v>23.029166996908934</v>
      </c>
      <c r="AC183" s="10">
        <v>49.686567164179102</v>
      </c>
      <c r="AD183" s="10">
        <v>0</v>
      </c>
      <c r="AE183" s="10">
        <v>22.148396030463882</v>
      </c>
      <c r="AF183" s="10">
        <v>25.970146707608325</v>
      </c>
      <c r="AG183" s="10">
        <v>-0.9765926640926641</v>
      </c>
      <c r="AH183" s="10">
        <v>17.398044692737429</v>
      </c>
      <c r="AI183" s="10">
        <v>46.640416383797238</v>
      </c>
      <c r="AJ183" s="10">
        <v>61.013966480446932</v>
      </c>
      <c r="AK183" s="10">
        <v>29.14278429372769</v>
      </c>
      <c r="AL183" s="10">
        <v>23.442799369387892</v>
      </c>
      <c r="AM183" s="10">
        <v>36.57692307692308</v>
      </c>
      <c r="AN183" s="10">
        <v>8</v>
      </c>
      <c r="AO183" s="10">
        <v>0</v>
      </c>
      <c r="AP183" s="10">
        <v>29</v>
      </c>
      <c r="AQ183" s="10">
        <v>20</v>
      </c>
      <c r="AR183" s="10">
        <v>0</v>
      </c>
      <c r="AS183" s="10">
        <v>4</v>
      </c>
      <c r="AT183" s="10">
        <v>8</v>
      </c>
      <c r="AU183" s="10">
        <v>4</v>
      </c>
      <c r="AV183" s="10">
        <v>0</v>
      </c>
      <c r="AW183" s="10">
        <v>1</v>
      </c>
      <c r="AX183" s="10">
        <v>4</v>
      </c>
      <c r="AY183" s="10">
        <v>22</v>
      </c>
      <c r="AZ183" s="10">
        <v>7</v>
      </c>
      <c r="BA183" s="10">
        <v>2</v>
      </c>
      <c r="BB183" s="10">
        <v>16</v>
      </c>
      <c r="BC183" s="10">
        <v>125</v>
      </c>
      <c r="BD183" s="10">
        <v>1</v>
      </c>
      <c r="BE183" s="10">
        <v>0</v>
      </c>
      <c r="BF183" s="10">
        <v>18</v>
      </c>
      <c r="BG183" s="10">
        <v>10</v>
      </c>
      <c r="BH183" s="10">
        <v>0</v>
      </c>
      <c r="BI183" s="10">
        <v>1</v>
      </c>
      <c r="BJ183" s="10">
        <v>1</v>
      </c>
      <c r="BK183" s="10">
        <v>1</v>
      </c>
      <c r="BL183" s="10">
        <v>0</v>
      </c>
      <c r="BM183" s="10">
        <v>0</v>
      </c>
      <c r="BN183" s="10">
        <v>0</v>
      </c>
      <c r="BO183" s="10">
        <v>3</v>
      </c>
      <c r="BP183" s="10">
        <v>1</v>
      </c>
      <c r="BQ183" s="10">
        <v>0</v>
      </c>
      <c r="BR183" s="10">
        <v>2</v>
      </c>
      <c r="BS183" s="10">
        <v>38</v>
      </c>
    </row>
    <row r="184" spans="1:71" x14ac:dyDescent="0.55000000000000004">
      <c r="A184" s="10">
        <v>726</v>
      </c>
      <c r="B184" s="10">
        <v>2022</v>
      </c>
      <c r="C184" s="10">
        <v>4806</v>
      </c>
      <c r="D184" s="10">
        <v>38225</v>
      </c>
      <c r="E184" s="10">
        <v>15279</v>
      </c>
      <c r="F184" s="10">
        <v>6257</v>
      </c>
      <c r="G184" s="10">
        <v>6012</v>
      </c>
      <c r="H184" s="10">
        <v>3423</v>
      </c>
      <c r="I184" s="10">
        <v>25085</v>
      </c>
      <c r="J184" s="10">
        <v>0</v>
      </c>
      <c r="K184" s="10">
        <v>0</v>
      </c>
      <c r="L184" s="10">
        <v>5845</v>
      </c>
      <c r="M184" s="10">
        <v>5931</v>
      </c>
      <c r="N184" s="10">
        <v>0</v>
      </c>
      <c r="O184" s="10">
        <v>4480</v>
      </c>
      <c r="P184" s="10">
        <v>9640</v>
      </c>
      <c r="Q184" s="10">
        <v>3722</v>
      </c>
      <c r="R184" s="10">
        <v>2674</v>
      </c>
      <c r="S184" s="10">
        <v>95928</v>
      </c>
      <c r="T184" s="10">
        <v>35451</v>
      </c>
      <c r="U184" s="10">
        <v>18.629005409904288</v>
      </c>
      <c r="V184" s="10">
        <v>26.020431654676258</v>
      </c>
      <c r="W184" s="10">
        <v>46.011191047162264</v>
      </c>
      <c r="X184" s="10">
        <v>20.776097912167028</v>
      </c>
      <c r="Y184" s="10">
        <v>43.048106121144315</v>
      </c>
      <c r="Z184" s="10">
        <v>16.864271457085827</v>
      </c>
      <c r="AA184" s="10">
        <v>14.508618171194859</v>
      </c>
      <c r="AB184" s="10">
        <v>28.949970101654376</v>
      </c>
      <c r="AC184" s="10">
        <v>0</v>
      </c>
      <c r="AD184" s="10">
        <v>0</v>
      </c>
      <c r="AE184" s="10">
        <v>18.283147989734815</v>
      </c>
      <c r="AF184" s="10">
        <v>50.657730568200975</v>
      </c>
      <c r="AG184" s="10">
        <v>0</v>
      </c>
      <c r="AH184" s="10">
        <v>20.263839285714283</v>
      </c>
      <c r="AI184" s="10">
        <v>36.231120331950208</v>
      </c>
      <c r="AJ184" s="10">
        <v>0</v>
      </c>
      <c r="AK184" s="10">
        <v>24.174637291778613</v>
      </c>
      <c r="AL184" s="10">
        <v>25.485041136873598</v>
      </c>
      <c r="AM184" s="10">
        <v>0</v>
      </c>
      <c r="AN184" s="10">
        <v>2</v>
      </c>
      <c r="AO184" s="10">
        <v>1</v>
      </c>
      <c r="AP184" s="10">
        <v>12</v>
      </c>
      <c r="AQ184" s="10">
        <v>3</v>
      </c>
      <c r="AR184" s="10">
        <v>0</v>
      </c>
      <c r="AS184" s="10">
        <v>0</v>
      </c>
      <c r="AT184" s="10">
        <v>6</v>
      </c>
      <c r="AU184" s="10">
        <v>1</v>
      </c>
      <c r="AV184" s="10">
        <v>0</v>
      </c>
      <c r="AW184" s="10">
        <v>2</v>
      </c>
      <c r="AX184" s="10">
        <v>2</v>
      </c>
      <c r="AY184" s="10">
        <v>0</v>
      </c>
      <c r="AZ184" s="10">
        <v>2</v>
      </c>
      <c r="BA184" s="10">
        <v>0</v>
      </c>
      <c r="BB184" s="10">
        <v>0</v>
      </c>
      <c r="BC184" s="10">
        <v>31</v>
      </c>
      <c r="BD184" s="10">
        <v>1</v>
      </c>
      <c r="BE184" s="10">
        <v>0</v>
      </c>
      <c r="BF184" s="10">
        <v>1</v>
      </c>
      <c r="BG184" s="10">
        <v>0</v>
      </c>
      <c r="BH184" s="10">
        <v>0</v>
      </c>
      <c r="BI184" s="10">
        <v>0</v>
      </c>
      <c r="BJ184" s="10">
        <v>1</v>
      </c>
      <c r="BK184" s="10">
        <v>0</v>
      </c>
      <c r="BL184" s="10">
        <v>0</v>
      </c>
      <c r="BM184" s="10">
        <v>0</v>
      </c>
      <c r="BN184" s="10">
        <v>0</v>
      </c>
      <c r="BO184" s="10">
        <v>0</v>
      </c>
      <c r="BP184" s="10">
        <v>0</v>
      </c>
      <c r="BQ184" s="10">
        <v>0</v>
      </c>
      <c r="BR184" s="10">
        <v>0</v>
      </c>
      <c r="BS184" s="10">
        <v>3</v>
      </c>
    </row>
    <row r="185" spans="1:71" x14ac:dyDescent="0.55000000000000004">
      <c r="A185" s="10">
        <v>589</v>
      </c>
      <c r="B185" s="10">
        <v>2022</v>
      </c>
      <c r="C185" s="10">
        <v>11776</v>
      </c>
      <c r="D185" s="10">
        <v>38285</v>
      </c>
      <c r="E185" s="10">
        <v>18827</v>
      </c>
      <c r="F185" s="10">
        <v>6721</v>
      </c>
      <c r="G185" s="10">
        <v>7064</v>
      </c>
      <c r="H185" s="10">
        <v>1911</v>
      </c>
      <c r="I185" s="10">
        <v>12702</v>
      </c>
      <c r="J185" s="10">
        <v>0</v>
      </c>
      <c r="K185" s="10">
        <v>0</v>
      </c>
      <c r="L185" s="10">
        <v>5082</v>
      </c>
      <c r="M185" s="10">
        <v>11409</v>
      </c>
      <c r="N185" s="10">
        <v>0</v>
      </c>
      <c r="O185" s="10">
        <v>3956</v>
      </c>
      <c r="P185" s="10">
        <v>8754</v>
      </c>
      <c r="Q185" s="10">
        <v>1988</v>
      </c>
      <c r="R185" s="10">
        <v>3733</v>
      </c>
      <c r="S185" s="10">
        <v>93729</v>
      </c>
      <c r="T185" s="10">
        <v>38479</v>
      </c>
      <c r="U185" s="10">
        <v>17.811820652173914</v>
      </c>
      <c r="V185" s="10">
        <v>20.980331722606763</v>
      </c>
      <c r="W185" s="10">
        <v>0</v>
      </c>
      <c r="X185" s="10">
        <v>10.33329792319541</v>
      </c>
      <c r="Y185" s="10">
        <v>28.473887814313347</v>
      </c>
      <c r="Z185" s="10">
        <v>13.562712344280861</v>
      </c>
      <c r="AA185" s="10">
        <v>20.511250654107798</v>
      </c>
      <c r="AB185" s="10">
        <v>30.640765233821448</v>
      </c>
      <c r="AC185" s="10">
        <v>0</v>
      </c>
      <c r="AD185" s="10">
        <v>0</v>
      </c>
      <c r="AE185" s="10">
        <v>21.729043683589136</v>
      </c>
      <c r="AF185" s="10">
        <v>40.79577526514155</v>
      </c>
      <c r="AG185" s="10">
        <v>0</v>
      </c>
      <c r="AH185" s="10">
        <v>22.527553083923156</v>
      </c>
      <c r="AI185" s="10">
        <v>38.070824765821335</v>
      </c>
      <c r="AJ185" s="10">
        <v>0</v>
      </c>
      <c r="AK185" s="10">
        <v>28.404929577464792</v>
      </c>
      <c r="AL185" s="10">
        <v>22.547816769354405</v>
      </c>
      <c r="AM185" s="10">
        <v>0</v>
      </c>
      <c r="AN185" s="10">
        <v>4</v>
      </c>
      <c r="AO185" s="10">
        <v>3</v>
      </c>
      <c r="AP185" s="10">
        <v>15</v>
      </c>
      <c r="AQ185" s="10">
        <v>6</v>
      </c>
      <c r="AR185" s="10">
        <v>4</v>
      </c>
      <c r="AS185" s="10">
        <v>1</v>
      </c>
      <c r="AT185" s="10">
        <v>7</v>
      </c>
      <c r="AU185" s="10">
        <v>2</v>
      </c>
      <c r="AV185" s="10">
        <v>0</v>
      </c>
      <c r="AW185" s="10">
        <v>1</v>
      </c>
      <c r="AX185" s="10">
        <v>6</v>
      </c>
      <c r="AY185" s="10">
        <v>0</v>
      </c>
      <c r="AZ185" s="10">
        <v>2</v>
      </c>
      <c r="BA185" s="10">
        <v>1</v>
      </c>
      <c r="BB185" s="10">
        <v>1</v>
      </c>
      <c r="BC185" s="10">
        <v>53</v>
      </c>
      <c r="BD185" s="10">
        <v>5</v>
      </c>
      <c r="BE185" s="10">
        <v>0</v>
      </c>
      <c r="BF185" s="10">
        <v>2</v>
      </c>
      <c r="BG185" s="10">
        <v>12</v>
      </c>
      <c r="BH185" s="10">
        <v>1</v>
      </c>
      <c r="BI185" s="10">
        <v>0</v>
      </c>
      <c r="BJ185" s="10">
        <v>0</v>
      </c>
      <c r="BK185" s="10">
        <v>0</v>
      </c>
      <c r="BL185" s="10">
        <v>0</v>
      </c>
      <c r="BM185" s="10">
        <v>1</v>
      </c>
      <c r="BN185" s="10">
        <v>0</v>
      </c>
      <c r="BO185" s="10">
        <v>0</v>
      </c>
      <c r="BP185" s="10">
        <v>2</v>
      </c>
      <c r="BQ185" s="10">
        <v>0</v>
      </c>
      <c r="BR185" s="10">
        <v>2</v>
      </c>
      <c r="BS185" s="10">
        <v>25</v>
      </c>
    </row>
    <row r="186" spans="1:71" x14ac:dyDescent="0.55000000000000004">
      <c r="A186" s="10">
        <v>781</v>
      </c>
      <c r="B186" s="10">
        <v>2022</v>
      </c>
      <c r="C186" s="10">
        <v>3831</v>
      </c>
      <c r="D186" s="10">
        <v>38393</v>
      </c>
      <c r="E186" s="10">
        <v>20998</v>
      </c>
      <c r="F186" s="10">
        <v>4485</v>
      </c>
      <c r="G186" s="10">
        <v>3779</v>
      </c>
      <c r="H186" s="10">
        <v>3613</v>
      </c>
      <c r="I186" s="10">
        <v>1329</v>
      </c>
      <c r="J186" s="10">
        <v>2386</v>
      </c>
      <c r="K186" s="10">
        <v>0</v>
      </c>
      <c r="L186" s="10">
        <v>5516</v>
      </c>
      <c r="M186" s="10">
        <v>3226</v>
      </c>
      <c r="N186" s="10">
        <v>811</v>
      </c>
      <c r="O186" s="10">
        <v>2246</v>
      </c>
      <c r="P186" s="10">
        <v>22905</v>
      </c>
      <c r="Q186" s="10">
        <v>3616</v>
      </c>
      <c r="R186" s="10">
        <v>0</v>
      </c>
      <c r="S186" s="10">
        <v>82013</v>
      </c>
      <c r="T186" s="10">
        <v>35121</v>
      </c>
      <c r="U186" s="10">
        <v>19.584964761158965</v>
      </c>
      <c r="V186" s="10">
        <v>23.240147943635556</v>
      </c>
      <c r="W186" s="10">
        <v>33.267825044937084</v>
      </c>
      <c r="X186" s="10">
        <v>15.212782169730451</v>
      </c>
      <c r="Y186" s="10">
        <v>32.692084726867336</v>
      </c>
      <c r="Z186" s="10">
        <v>16.409102937284995</v>
      </c>
      <c r="AA186" s="10">
        <v>18.052864655411014</v>
      </c>
      <c r="AB186" s="10">
        <v>33.117381489841989</v>
      </c>
      <c r="AC186" s="10">
        <v>50.634408602150536</v>
      </c>
      <c r="AD186" s="10">
        <v>0</v>
      </c>
      <c r="AE186" s="10">
        <v>24.390137781000725</v>
      </c>
      <c r="AF186" s="10">
        <v>40.30099194048357</v>
      </c>
      <c r="AG186" s="10">
        <v>29.818742293464858</v>
      </c>
      <c r="AH186" s="10">
        <v>26.336598397150489</v>
      </c>
      <c r="AI186" s="10">
        <v>38.68120497707924</v>
      </c>
      <c r="AJ186" s="10">
        <v>62.255033557046978</v>
      </c>
      <c r="AK186" s="10">
        <v>25.633296460176989</v>
      </c>
      <c r="AL186" s="10">
        <v>0</v>
      </c>
      <c r="AM186" s="10">
        <v>0</v>
      </c>
      <c r="AN186" s="10">
        <v>3</v>
      </c>
      <c r="AO186" s="10">
        <v>5</v>
      </c>
      <c r="AP186" s="10">
        <v>12</v>
      </c>
      <c r="AQ186" s="10">
        <v>14</v>
      </c>
      <c r="AR186" s="10">
        <v>5</v>
      </c>
      <c r="AS186" s="10">
        <v>0</v>
      </c>
      <c r="AT186" s="10">
        <v>0</v>
      </c>
      <c r="AU186" s="10">
        <v>5</v>
      </c>
      <c r="AV186" s="10">
        <v>0</v>
      </c>
      <c r="AW186" s="10">
        <v>3</v>
      </c>
      <c r="AX186" s="10">
        <v>1</v>
      </c>
      <c r="AY186" s="10">
        <v>1</v>
      </c>
      <c r="AZ186" s="10">
        <v>7</v>
      </c>
      <c r="BA186" s="10">
        <v>1</v>
      </c>
      <c r="BB186" s="10">
        <v>0</v>
      </c>
      <c r="BC186" s="10">
        <v>57</v>
      </c>
      <c r="BD186" s="10">
        <v>1</v>
      </c>
      <c r="BE186" s="10">
        <v>2</v>
      </c>
      <c r="BF186" s="10">
        <v>5</v>
      </c>
      <c r="BG186" s="10">
        <v>28</v>
      </c>
      <c r="BH186" s="10">
        <v>0</v>
      </c>
      <c r="BI186" s="10">
        <v>0</v>
      </c>
      <c r="BJ186" s="10">
        <v>0</v>
      </c>
      <c r="BK186" s="10">
        <v>0</v>
      </c>
      <c r="BL186" s="10">
        <v>0</v>
      </c>
      <c r="BM186" s="10">
        <v>0</v>
      </c>
      <c r="BN186" s="10">
        <v>0</v>
      </c>
      <c r="BO186" s="10">
        <v>0</v>
      </c>
      <c r="BP186" s="10">
        <v>2</v>
      </c>
      <c r="BQ186" s="10">
        <v>0</v>
      </c>
      <c r="BR186" s="10">
        <v>0</v>
      </c>
      <c r="BS186" s="10">
        <v>38</v>
      </c>
    </row>
    <row r="187" spans="1:71" x14ac:dyDescent="0.55000000000000004">
      <c r="A187" s="10">
        <v>773</v>
      </c>
      <c r="B187" s="10">
        <v>2022</v>
      </c>
      <c r="C187" s="10">
        <v>7909</v>
      </c>
      <c r="D187" s="10">
        <v>38518</v>
      </c>
      <c r="E187" s="10">
        <v>8695</v>
      </c>
      <c r="F187" s="10">
        <v>8861</v>
      </c>
      <c r="G187" s="10">
        <v>3284</v>
      </c>
      <c r="H187" s="10">
        <v>1799</v>
      </c>
      <c r="I187" s="10">
        <v>10763</v>
      </c>
      <c r="J187" s="10">
        <v>0</v>
      </c>
      <c r="K187" s="10">
        <v>0</v>
      </c>
      <c r="L187" s="10">
        <v>2088</v>
      </c>
      <c r="M187" s="10">
        <v>4083</v>
      </c>
      <c r="N187" s="10">
        <v>0</v>
      </c>
      <c r="O187" s="10">
        <v>8527</v>
      </c>
      <c r="P187" s="10">
        <v>13913</v>
      </c>
      <c r="Q187" s="10">
        <v>2144</v>
      </c>
      <c r="R187" s="10">
        <v>2381</v>
      </c>
      <c r="S187" s="10">
        <v>81799</v>
      </c>
      <c r="T187" s="10">
        <v>31166</v>
      </c>
      <c r="U187" s="10">
        <v>19.099506890883802</v>
      </c>
      <c r="V187" s="10">
        <v>24.750662028142685</v>
      </c>
      <c r="W187" s="10">
        <v>32.573384446878421</v>
      </c>
      <c r="X187" s="10">
        <v>23.235192639447959</v>
      </c>
      <c r="Y187" s="10">
        <v>27.397246360455931</v>
      </c>
      <c r="Z187" s="10">
        <v>16.763398294762485</v>
      </c>
      <c r="AA187" s="10">
        <v>20.360200111172873</v>
      </c>
      <c r="AB187" s="10">
        <v>36.463997026851253</v>
      </c>
      <c r="AC187" s="10">
        <v>51.542429284525788</v>
      </c>
      <c r="AD187" s="10">
        <v>0</v>
      </c>
      <c r="AE187" s="10">
        <v>0</v>
      </c>
      <c r="AF187" s="10">
        <v>38.748469262796959</v>
      </c>
      <c r="AG187" s="10">
        <v>0</v>
      </c>
      <c r="AH187" s="10">
        <v>18.850474961885777</v>
      </c>
      <c r="AI187" s="10">
        <v>39.408035650111401</v>
      </c>
      <c r="AJ187" s="10">
        <v>0</v>
      </c>
      <c r="AK187" s="10">
        <v>32.864738805970148</v>
      </c>
      <c r="AL187" s="10">
        <v>47.00965980680386</v>
      </c>
      <c r="AM187" s="10">
        <v>0</v>
      </c>
      <c r="AN187" s="10">
        <v>3</v>
      </c>
      <c r="AO187" s="10">
        <v>0</v>
      </c>
      <c r="AP187" s="10">
        <v>15</v>
      </c>
      <c r="AQ187" s="10">
        <v>10</v>
      </c>
      <c r="AR187" s="10">
        <v>1</v>
      </c>
      <c r="AS187" s="10">
        <v>2</v>
      </c>
      <c r="AT187" s="10">
        <v>6</v>
      </c>
      <c r="AU187" s="10">
        <v>4</v>
      </c>
      <c r="AV187" s="10">
        <v>0</v>
      </c>
      <c r="AW187" s="10">
        <v>1</v>
      </c>
      <c r="AX187" s="10">
        <v>2</v>
      </c>
      <c r="AY187" s="10">
        <v>0</v>
      </c>
      <c r="AZ187" s="10">
        <v>7</v>
      </c>
      <c r="BA187" s="10">
        <v>1</v>
      </c>
      <c r="BB187" s="10">
        <v>0</v>
      </c>
      <c r="BC187" s="10">
        <v>52</v>
      </c>
      <c r="BD187" s="10">
        <v>2</v>
      </c>
      <c r="BE187" s="10">
        <v>0</v>
      </c>
      <c r="BF187" s="10">
        <v>12</v>
      </c>
      <c r="BG187" s="10">
        <v>5</v>
      </c>
      <c r="BH187" s="10">
        <v>2</v>
      </c>
      <c r="BI187" s="10">
        <v>0</v>
      </c>
      <c r="BJ187" s="10">
        <v>1</v>
      </c>
      <c r="BK187" s="10">
        <v>0</v>
      </c>
      <c r="BL187" s="10">
        <v>0</v>
      </c>
      <c r="BM187" s="10">
        <v>0</v>
      </c>
      <c r="BN187" s="10">
        <v>0</v>
      </c>
      <c r="BO187" s="10">
        <v>0</v>
      </c>
      <c r="BP187" s="10">
        <v>2</v>
      </c>
      <c r="BQ187" s="10">
        <v>0</v>
      </c>
      <c r="BR187" s="10">
        <v>0</v>
      </c>
      <c r="BS187" s="10">
        <v>24</v>
      </c>
    </row>
    <row r="188" spans="1:71" x14ac:dyDescent="0.55000000000000004">
      <c r="A188" s="10">
        <v>149</v>
      </c>
      <c r="B188" s="10">
        <v>2022</v>
      </c>
      <c r="C188" s="10">
        <v>3184</v>
      </c>
      <c r="D188" s="10">
        <v>39055</v>
      </c>
      <c r="E188" s="10">
        <v>0</v>
      </c>
      <c r="F188" s="10">
        <v>4435</v>
      </c>
      <c r="G188" s="10">
        <v>0</v>
      </c>
      <c r="H188" s="10">
        <v>0</v>
      </c>
      <c r="I188" s="10">
        <v>17530</v>
      </c>
      <c r="J188" s="10">
        <v>160</v>
      </c>
      <c r="K188" s="10">
        <v>0</v>
      </c>
      <c r="L188" s="10">
        <v>6248</v>
      </c>
      <c r="M188" s="10">
        <v>7772</v>
      </c>
      <c r="N188" s="10">
        <v>0</v>
      </c>
      <c r="O188" s="10">
        <v>1230</v>
      </c>
      <c r="P188" s="10">
        <v>9491</v>
      </c>
      <c r="Q188" s="10">
        <v>2602</v>
      </c>
      <c r="R188" s="10">
        <v>0</v>
      </c>
      <c r="S188" s="10">
        <v>86042</v>
      </c>
      <c r="T188" s="10">
        <v>5665</v>
      </c>
      <c r="U188" s="10">
        <v>21.504082914572862</v>
      </c>
      <c r="V188" s="10">
        <v>28.273972602739725</v>
      </c>
      <c r="W188" s="10">
        <v>32.59713428857048</v>
      </c>
      <c r="X188" s="10">
        <v>0</v>
      </c>
      <c r="Y188" s="10">
        <v>55.979030439684323</v>
      </c>
      <c r="Z188" s="10">
        <v>0</v>
      </c>
      <c r="AA188" s="10">
        <v>0</v>
      </c>
      <c r="AB188" s="10">
        <v>38.281745579007413</v>
      </c>
      <c r="AC188" s="10">
        <v>47.947745901639344</v>
      </c>
      <c r="AD188" s="10">
        <v>0</v>
      </c>
      <c r="AE188" s="10">
        <v>14.460787451984634</v>
      </c>
      <c r="AF188" s="10">
        <v>44.564204837879565</v>
      </c>
      <c r="AG188" s="10">
        <v>0</v>
      </c>
      <c r="AH188" s="10">
        <v>19.637398373983739</v>
      </c>
      <c r="AI188" s="10">
        <v>49.408913707723102</v>
      </c>
      <c r="AJ188" s="10">
        <v>50.600286875448241</v>
      </c>
      <c r="AK188" s="10">
        <v>32.601460415065333</v>
      </c>
      <c r="AL188" s="10">
        <v>0</v>
      </c>
      <c r="AM188" s="10">
        <v>0</v>
      </c>
      <c r="AN188" s="10">
        <v>1</v>
      </c>
      <c r="AO188" s="10">
        <v>3</v>
      </c>
      <c r="AP188" s="10">
        <v>16</v>
      </c>
      <c r="AQ188" s="10">
        <v>0</v>
      </c>
      <c r="AR188" s="10">
        <v>0</v>
      </c>
      <c r="AS188" s="10">
        <v>0</v>
      </c>
      <c r="AT188" s="10">
        <v>7</v>
      </c>
      <c r="AU188" s="10">
        <v>1</v>
      </c>
      <c r="AV188" s="10">
        <v>0</v>
      </c>
      <c r="AW188" s="10">
        <v>2</v>
      </c>
      <c r="AX188" s="10">
        <v>0</v>
      </c>
      <c r="AY188" s="10">
        <v>4</v>
      </c>
      <c r="AZ188" s="10">
        <v>3</v>
      </c>
      <c r="BA188" s="10">
        <v>2</v>
      </c>
      <c r="BB188" s="10">
        <v>0</v>
      </c>
      <c r="BC188" s="10">
        <v>39</v>
      </c>
      <c r="BD188" s="10">
        <v>0</v>
      </c>
      <c r="BE188" s="10">
        <v>0</v>
      </c>
      <c r="BF188" s="10">
        <v>4</v>
      </c>
      <c r="BG188" s="10">
        <v>0</v>
      </c>
      <c r="BH188" s="10">
        <v>0</v>
      </c>
      <c r="BI188" s="10">
        <v>0</v>
      </c>
      <c r="BJ188" s="10">
        <v>2</v>
      </c>
      <c r="BK188" s="10">
        <v>0</v>
      </c>
      <c r="BL188" s="10">
        <v>0</v>
      </c>
      <c r="BM188" s="10">
        <v>1</v>
      </c>
      <c r="BN188" s="10">
        <v>0</v>
      </c>
      <c r="BO188" s="10">
        <v>0</v>
      </c>
      <c r="BP188" s="10">
        <v>3</v>
      </c>
      <c r="BQ188" s="10">
        <v>0</v>
      </c>
      <c r="BR188" s="10">
        <v>0</v>
      </c>
      <c r="BS188" s="10">
        <v>10</v>
      </c>
    </row>
    <row r="189" spans="1:71" x14ac:dyDescent="0.55000000000000004">
      <c r="A189" s="10">
        <v>542</v>
      </c>
      <c r="B189" s="10">
        <v>2022</v>
      </c>
      <c r="C189" s="10">
        <v>4140</v>
      </c>
      <c r="D189" s="10">
        <v>39073</v>
      </c>
      <c r="E189" s="10">
        <v>23703</v>
      </c>
      <c r="F189" s="10">
        <v>7255</v>
      </c>
      <c r="G189" s="10">
        <v>9973</v>
      </c>
      <c r="H189" s="10">
        <v>3290</v>
      </c>
      <c r="I189" s="10">
        <v>19723</v>
      </c>
      <c r="J189" s="10">
        <v>0</v>
      </c>
      <c r="K189" s="10">
        <v>0</v>
      </c>
      <c r="L189" s="10">
        <v>4287</v>
      </c>
      <c r="M189" s="10">
        <v>11574</v>
      </c>
      <c r="N189" s="10">
        <v>4926</v>
      </c>
      <c r="O189" s="10">
        <v>2075</v>
      </c>
      <c r="P189" s="10">
        <v>19490</v>
      </c>
      <c r="Q189" s="10">
        <v>2427</v>
      </c>
      <c r="R189" s="10">
        <v>342</v>
      </c>
      <c r="S189" s="10">
        <v>105982</v>
      </c>
      <c r="T189" s="10">
        <v>46296</v>
      </c>
      <c r="U189" s="10">
        <v>22.256038647342997</v>
      </c>
      <c r="V189" s="10">
        <v>24.992245284467533</v>
      </c>
      <c r="W189" s="10">
        <v>31.873271028037379</v>
      </c>
      <c r="X189" s="10">
        <v>17.855587900265789</v>
      </c>
      <c r="Y189" s="10">
        <v>32.968159889731218</v>
      </c>
      <c r="Z189" s="10">
        <v>19.4406898626291</v>
      </c>
      <c r="AA189" s="10">
        <v>21.165045592705169</v>
      </c>
      <c r="AB189" s="10">
        <v>36.230289509709479</v>
      </c>
      <c r="AC189" s="10">
        <v>49.674050632911396</v>
      </c>
      <c r="AD189" s="10">
        <v>0</v>
      </c>
      <c r="AE189" s="10">
        <v>26.157919290879402</v>
      </c>
      <c r="AF189" s="10">
        <v>48.765249697598058</v>
      </c>
      <c r="AG189" s="10">
        <v>11.111043442955745</v>
      </c>
      <c r="AH189" s="10">
        <v>29.323855421686744</v>
      </c>
      <c r="AI189" s="10">
        <v>44.093996921498203</v>
      </c>
      <c r="AJ189" s="10">
        <v>58.531986531986533</v>
      </c>
      <c r="AK189" s="10">
        <v>61.964977338277713</v>
      </c>
      <c r="AL189" s="10">
        <v>25.494152046783622</v>
      </c>
      <c r="AM189" s="10">
        <v>0</v>
      </c>
      <c r="AN189" s="10">
        <v>2</v>
      </c>
      <c r="AO189" s="10">
        <v>4</v>
      </c>
      <c r="AP189" s="10">
        <v>8</v>
      </c>
      <c r="AQ189" s="10">
        <v>7</v>
      </c>
      <c r="AR189" s="10">
        <v>3</v>
      </c>
      <c r="AS189" s="10">
        <v>1</v>
      </c>
      <c r="AT189" s="10">
        <v>8</v>
      </c>
      <c r="AU189" s="10">
        <v>1</v>
      </c>
      <c r="AV189" s="10">
        <v>0</v>
      </c>
      <c r="AW189" s="10">
        <v>1</v>
      </c>
      <c r="AX189" s="10">
        <v>6</v>
      </c>
      <c r="AY189" s="10">
        <v>1</v>
      </c>
      <c r="AZ189" s="10">
        <v>8</v>
      </c>
      <c r="BA189" s="10">
        <v>1</v>
      </c>
      <c r="BB189" s="10">
        <v>0</v>
      </c>
      <c r="BC189" s="10">
        <v>51</v>
      </c>
      <c r="BD189" s="10">
        <v>0</v>
      </c>
      <c r="BE189" s="10">
        <v>0</v>
      </c>
      <c r="BF189" s="10">
        <v>8</v>
      </c>
      <c r="BG189" s="10">
        <v>13</v>
      </c>
      <c r="BH189" s="10">
        <v>6</v>
      </c>
      <c r="BI189" s="10">
        <v>1</v>
      </c>
      <c r="BJ189" s="10">
        <v>8</v>
      </c>
      <c r="BK189" s="10">
        <v>1</v>
      </c>
      <c r="BL189" s="10">
        <v>0</v>
      </c>
      <c r="BM189" s="10">
        <v>0</v>
      </c>
      <c r="BN189" s="10">
        <v>1</v>
      </c>
      <c r="BO189" s="10">
        <v>0</v>
      </c>
      <c r="BP189" s="10">
        <v>8</v>
      </c>
      <c r="BQ189" s="10">
        <v>0</v>
      </c>
      <c r="BR189" s="10">
        <v>25</v>
      </c>
      <c r="BS189" s="10">
        <v>71</v>
      </c>
    </row>
    <row r="190" spans="1:71" x14ac:dyDescent="0.55000000000000004">
      <c r="A190" s="10">
        <v>318</v>
      </c>
      <c r="B190" s="10">
        <v>2022</v>
      </c>
      <c r="C190" s="10">
        <v>7364</v>
      </c>
      <c r="D190" s="10">
        <v>39271</v>
      </c>
      <c r="E190" s="10">
        <v>21139</v>
      </c>
      <c r="F190" s="10">
        <v>4834</v>
      </c>
      <c r="G190" s="10">
        <v>4124</v>
      </c>
      <c r="H190" s="10">
        <v>3887</v>
      </c>
      <c r="I190" s="10">
        <v>12757</v>
      </c>
      <c r="J190" s="10">
        <v>0</v>
      </c>
      <c r="K190" s="10">
        <v>0</v>
      </c>
      <c r="L190" s="10">
        <v>1908</v>
      </c>
      <c r="M190" s="10">
        <v>4853</v>
      </c>
      <c r="N190" s="10">
        <v>0</v>
      </c>
      <c r="O190" s="10">
        <v>2526</v>
      </c>
      <c r="P190" s="10">
        <v>7322</v>
      </c>
      <c r="Q190" s="10">
        <v>1193</v>
      </c>
      <c r="R190" s="10">
        <v>0</v>
      </c>
      <c r="S190" s="10">
        <v>74668</v>
      </c>
      <c r="T190" s="10">
        <v>36510</v>
      </c>
      <c r="U190" s="10">
        <v>21.684003259098318</v>
      </c>
      <c r="V190" s="10">
        <v>25.162562705304168</v>
      </c>
      <c r="W190" s="10">
        <v>74.034722222222229</v>
      </c>
      <c r="X190" s="10">
        <v>21.701972657173943</v>
      </c>
      <c r="Y190" s="10">
        <v>11.589987587918907</v>
      </c>
      <c r="Z190" s="10">
        <v>20.364209505334628</v>
      </c>
      <c r="AA190" s="10">
        <v>17.725237972729612</v>
      </c>
      <c r="AB190" s="10">
        <v>36.920592615818762</v>
      </c>
      <c r="AC190" s="10">
        <v>55</v>
      </c>
      <c r="AD190" s="10">
        <v>0</v>
      </c>
      <c r="AE190" s="10">
        <v>64.639412997903563</v>
      </c>
      <c r="AF190" s="10">
        <v>19.081599010921078</v>
      </c>
      <c r="AG190" s="10">
        <v>0</v>
      </c>
      <c r="AH190" s="10">
        <v>26.176563737133808</v>
      </c>
      <c r="AI190" s="10">
        <v>71.799235181644363</v>
      </c>
      <c r="AJ190" s="10">
        <v>79.874396135265698</v>
      </c>
      <c r="AK190" s="10">
        <v>65.891031014249791</v>
      </c>
      <c r="AL190" s="10">
        <v>0</v>
      </c>
      <c r="AM190" s="10">
        <v>45.253164556962027</v>
      </c>
      <c r="AN190" s="10">
        <v>4</v>
      </c>
      <c r="AO190" s="10">
        <v>2</v>
      </c>
      <c r="AP190" s="10">
        <v>20</v>
      </c>
      <c r="AQ190" s="10">
        <v>9</v>
      </c>
      <c r="AR190" s="10">
        <v>4</v>
      </c>
      <c r="AS190" s="10">
        <v>1</v>
      </c>
      <c r="AT190" s="10">
        <v>10</v>
      </c>
      <c r="AU190" s="10">
        <v>2</v>
      </c>
      <c r="AV190" s="10">
        <v>0</v>
      </c>
      <c r="AW190" s="10">
        <v>1</v>
      </c>
      <c r="AX190" s="10">
        <v>4</v>
      </c>
      <c r="AY190" s="10">
        <v>6</v>
      </c>
      <c r="AZ190" s="10">
        <v>5</v>
      </c>
      <c r="BA190" s="10">
        <v>1</v>
      </c>
      <c r="BB190" s="10">
        <v>0</v>
      </c>
      <c r="BC190" s="10">
        <v>69</v>
      </c>
      <c r="BD190" s="10">
        <v>4</v>
      </c>
      <c r="BE190" s="10">
        <v>0</v>
      </c>
      <c r="BF190" s="10">
        <v>8</v>
      </c>
      <c r="BG190" s="10">
        <v>6</v>
      </c>
      <c r="BH190" s="10">
        <v>3</v>
      </c>
      <c r="BI190" s="10">
        <v>1</v>
      </c>
      <c r="BJ190" s="10">
        <v>2</v>
      </c>
      <c r="BK190" s="10">
        <v>0</v>
      </c>
      <c r="BL190" s="10">
        <v>0</v>
      </c>
      <c r="BM190" s="10">
        <v>0</v>
      </c>
      <c r="BN190" s="10">
        <v>0</v>
      </c>
      <c r="BO190" s="10">
        <v>6</v>
      </c>
      <c r="BP190" s="10">
        <v>0</v>
      </c>
      <c r="BQ190" s="10">
        <v>0</v>
      </c>
      <c r="BR190" s="10">
        <v>0</v>
      </c>
      <c r="BS190" s="10">
        <v>30</v>
      </c>
    </row>
    <row r="191" spans="1:71" x14ac:dyDescent="0.55000000000000004">
      <c r="A191" s="10">
        <v>735</v>
      </c>
      <c r="B191" s="10">
        <v>2022</v>
      </c>
      <c r="C191" s="10">
        <v>2902</v>
      </c>
      <c r="D191" s="10">
        <v>39299</v>
      </c>
      <c r="E191" s="10">
        <v>12954</v>
      </c>
      <c r="F191" s="10">
        <v>6054</v>
      </c>
      <c r="G191" s="10">
        <v>0</v>
      </c>
      <c r="H191" s="10">
        <v>0</v>
      </c>
      <c r="I191" s="10">
        <v>15117</v>
      </c>
      <c r="J191" s="10">
        <v>0</v>
      </c>
      <c r="K191" s="10">
        <v>0</v>
      </c>
      <c r="L191" s="10">
        <v>2732</v>
      </c>
      <c r="M191" s="10">
        <v>7235</v>
      </c>
      <c r="N191" s="10">
        <v>0</v>
      </c>
      <c r="O191" s="10">
        <v>1852</v>
      </c>
      <c r="P191" s="10">
        <v>13472</v>
      </c>
      <c r="Q191" s="10">
        <v>3979</v>
      </c>
      <c r="R191" s="10">
        <v>1210</v>
      </c>
      <c r="S191" s="10">
        <v>85946</v>
      </c>
      <c r="T191" s="10">
        <v>20860</v>
      </c>
      <c r="U191" s="10">
        <v>19.383528600964851</v>
      </c>
      <c r="V191" s="10">
        <v>23.213974910303058</v>
      </c>
      <c r="W191" s="10">
        <v>33.75471698113207</v>
      </c>
      <c r="X191" s="10">
        <v>18.930060213061601</v>
      </c>
      <c r="Y191" s="10">
        <v>33.699867855962999</v>
      </c>
      <c r="Z191" s="10">
        <v>0</v>
      </c>
      <c r="AA191" s="10">
        <v>0</v>
      </c>
      <c r="AB191" s="10">
        <v>31.69868360124363</v>
      </c>
      <c r="AC191" s="10">
        <v>49.523809523809526</v>
      </c>
      <c r="AD191" s="10">
        <v>0</v>
      </c>
      <c r="AE191" s="10">
        <v>21.859443631039532</v>
      </c>
      <c r="AF191" s="10">
        <v>41.029854872149272</v>
      </c>
      <c r="AG191" s="10">
        <v>0</v>
      </c>
      <c r="AH191" s="10">
        <v>28.306695464362846</v>
      </c>
      <c r="AI191" s="10">
        <v>41.080092042755346</v>
      </c>
      <c r="AJ191" s="10">
        <v>59.54545454545454</v>
      </c>
      <c r="AK191" s="10">
        <v>24.856747926614727</v>
      </c>
      <c r="AL191" s="10">
        <v>22.609090909090909</v>
      </c>
      <c r="AM191" s="10">
        <v>0</v>
      </c>
      <c r="AN191" s="10">
        <v>1</v>
      </c>
      <c r="AO191" s="10">
        <v>3</v>
      </c>
      <c r="AP191" s="10">
        <v>17</v>
      </c>
      <c r="AQ191" s="10">
        <v>4</v>
      </c>
      <c r="AR191" s="10">
        <v>0</v>
      </c>
      <c r="AS191" s="10">
        <v>0</v>
      </c>
      <c r="AT191" s="10">
        <v>6</v>
      </c>
      <c r="AU191" s="10">
        <v>2</v>
      </c>
      <c r="AV191" s="10">
        <v>0</v>
      </c>
      <c r="AW191" s="10">
        <v>2</v>
      </c>
      <c r="AX191" s="10">
        <v>5</v>
      </c>
      <c r="AY191" s="10">
        <v>0</v>
      </c>
      <c r="AZ191" s="10">
        <v>4</v>
      </c>
      <c r="BA191" s="10">
        <v>2</v>
      </c>
      <c r="BB191" s="10">
        <v>0</v>
      </c>
      <c r="BC191" s="10">
        <v>46</v>
      </c>
      <c r="BD191" s="10">
        <v>1</v>
      </c>
      <c r="BE191" s="10">
        <v>0</v>
      </c>
      <c r="BF191" s="10">
        <v>3</v>
      </c>
      <c r="BG191" s="10">
        <v>2</v>
      </c>
      <c r="BH191" s="10">
        <v>0</v>
      </c>
      <c r="BI191" s="10">
        <v>0</v>
      </c>
      <c r="BJ191" s="10">
        <v>1</v>
      </c>
      <c r="BK191" s="10">
        <v>0</v>
      </c>
      <c r="BL191" s="10">
        <v>0</v>
      </c>
      <c r="BM191" s="10">
        <v>0</v>
      </c>
      <c r="BN191" s="10">
        <v>1</v>
      </c>
      <c r="BO191" s="10">
        <v>1</v>
      </c>
      <c r="BP191" s="10">
        <v>0</v>
      </c>
      <c r="BQ191" s="10">
        <v>0</v>
      </c>
      <c r="BR191" s="10">
        <v>0</v>
      </c>
      <c r="BS191" s="10">
        <v>9</v>
      </c>
    </row>
    <row r="192" spans="1:71" x14ac:dyDescent="0.55000000000000004">
      <c r="A192" s="10">
        <v>792</v>
      </c>
      <c r="B192" s="10">
        <v>2022</v>
      </c>
      <c r="C192" s="10">
        <v>5881</v>
      </c>
      <c r="D192" s="10">
        <v>39552</v>
      </c>
      <c r="E192" s="10">
        <v>24602</v>
      </c>
      <c r="F192" s="10">
        <v>8535</v>
      </c>
      <c r="G192" s="10">
        <v>0</v>
      </c>
      <c r="H192" s="10">
        <v>0</v>
      </c>
      <c r="I192" s="10">
        <v>17870</v>
      </c>
      <c r="J192" s="10">
        <v>438</v>
      </c>
      <c r="K192" s="10">
        <v>0</v>
      </c>
      <c r="L192" s="10">
        <v>3929</v>
      </c>
      <c r="M192" s="10">
        <v>9150</v>
      </c>
      <c r="N192" s="10">
        <v>0</v>
      </c>
      <c r="O192" s="10">
        <v>2415</v>
      </c>
      <c r="P192" s="10">
        <v>6678</v>
      </c>
      <c r="Q192" s="10">
        <v>9096</v>
      </c>
      <c r="R192" s="10">
        <v>14453</v>
      </c>
      <c r="S192" s="10">
        <v>107047</v>
      </c>
      <c r="T192" s="10">
        <v>35552</v>
      </c>
      <c r="U192" s="10">
        <v>19.516068695800033</v>
      </c>
      <c r="V192" s="10">
        <v>25.77659789644013</v>
      </c>
      <c r="W192" s="10">
        <v>30.967685589519654</v>
      </c>
      <c r="X192" s="10">
        <v>19.578367612389236</v>
      </c>
      <c r="Y192" s="10">
        <v>26.502401874633858</v>
      </c>
      <c r="Z192" s="10">
        <v>0</v>
      </c>
      <c r="AA192" s="10">
        <v>0</v>
      </c>
      <c r="AB192" s="10">
        <v>43.215836597649698</v>
      </c>
      <c r="AC192" s="10">
        <v>46.94492753623188</v>
      </c>
      <c r="AD192" s="10">
        <v>0</v>
      </c>
      <c r="AE192" s="10">
        <v>26.113769406973784</v>
      </c>
      <c r="AF192" s="10">
        <v>52.506666666666668</v>
      </c>
      <c r="AG192" s="10">
        <v>0</v>
      </c>
      <c r="AH192" s="10">
        <v>28.087784679089026</v>
      </c>
      <c r="AI192" s="10">
        <v>48.485324947589099</v>
      </c>
      <c r="AJ192" s="10">
        <v>55.705882352941181</v>
      </c>
      <c r="AK192" s="10">
        <v>6.3668645558487249</v>
      </c>
      <c r="AL192" s="10">
        <v>24.353974953296891</v>
      </c>
      <c r="AM192" s="10">
        <v>35.807760141093475</v>
      </c>
      <c r="AN192" s="10">
        <v>4</v>
      </c>
      <c r="AO192" s="10">
        <v>3</v>
      </c>
      <c r="AP192" s="10">
        <v>15</v>
      </c>
      <c r="AQ192" s="10">
        <v>7</v>
      </c>
      <c r="AR192" s="10">
        <v>0</v>
      </c>
      <c r="AS192" s="10">
        <v>0</v>
      </c>
      <c r="AT192" s="10">
        <v>8</v>
      </c>
      <c r="AU192" s="10">
        <v>1</v>
      </c>
      <c r="AV192" s="10">
        <v>0</v>
      </c>
      <c r="AW192" s="10">
        <v>2</v>
      </c>
      <c r="AX192" s="10">
        <v>1</v>
      </c>
      <c r="AY192" s="10">
        <v>0</v>
      </c>
      <c r="AZ192" s="10">
        <v>6</v>
      </c>
      <c r="BA192" s="10">
        <v>5</v>
      </c>
      <c r="BB192" s="10">
        <v>8</v>
      </c>
      <c r="BC192" s="10">
        <v>60</v>
      </c>
      <c r="BD192" s="10">
        <v>2</v>
      </c>
      <c r="BE192" s="10">
        <v>1</v>
      </c>
      <c r="BF192" s="10">
        <v>2</v>
      </c>
      <c r="BG192" s="10">
        <v>7</v>
      </c>
      <c r="BH192" s="10">
        <v>0</v>
      </c>
      <c r="BI192" s="10">
        <v>0</v>
      </c>
      <c r="BJ192" s="10">
        <v>5</v>
      </c>
      <c r="BK192" s="10">
        <v>0</v>
      </c>
      <c r="BL192" s="10">
        <v>0</v>
      </c>
      <c r="BM192" s="10">
        <v>0</v>
      </c>
      <c r="BN192" s="10">
        <v>0</v>
      </c>
      <c r="BO192" s="10">
        <v>0</v>
      </c>
      <c r="BP192" s="10">
        <v>0</v>
      </c>
      <c r="BQ192" s="10">
        <v>0</v>
      </c>
      <c r="BR192" s="10">
        <v>1</v>
      </c>
      <c r="BS192" s="10">
        <v>18</v>
      </c>
    </row>
    <row r="193" spans="1:71" x14ac:dyDescent="0.55000000000000004">
      <c r="A193" s="10">
        <v>374</v>
      </c>
      <c r="B193" s="10">
        <v>2022</v>
      </c>
      <c r="C193" s="10">
        <v>4963</v>
      </c>
      <c r="D193" s="10">
        <v>39630</v>
      </c>
      <c r="E193" s="10">
        <v>33886</v>
      </c>
      <c r="F193" s="10">
        <v>1664</v>
      </c>
      <c r="G193" s="10">
        <v>4788</v>
      </c>
      <c r="H193" s="10">
        <v>649</v>
      </c>
      <c r="I193" s="10">
        <v>13532</v>
      </c>
      <c r="J193" s="10">
        <v>0</v>
      </c>
      <c r="K193" s="10">
        <v>0</v>
      </c>
      <c r="L193" s="10">
        <v>0</v>
      </c>
      <c r="M193" s="10">
        <v>2101</v>
      </c>
      <c r="N193" s="10">
        <v>0</v>
      </c>
      <c r="O193" s="10">
        <v>1299</v>
      </c>
      <c r="P193" s="10">
        <v>12473</v>
      </c>
      <c r="Q193" s="10">
        <v>2101</v>
      </c>
      <c r="R193" s="10">
        <v>0</v>
      </c>
      <c r="S193" s="10">
        <v>74800</v>
      </c>
      <c r="T193" s="10">
        <v>42286</v>
      </c>
      <c r="U193" s="10">
        <v>24.34878097924642</v>
      </c>
      <c r="V193" s="10">
        <v>24.883875851627554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31.077889447236181</v>
      </c>
      <c r="AC193" s="10">
        <v>0</v>
      </c>
      <c r="AD193" s="10">
        <v>0</v>
      </c>
      <c r="AE193" s="10">
        <v>0</v>
      </c>
      <c r="AF193" s="10">
        <v>60.177534507377437</v>
      </c>
      <c r="AG193" s="10">
        <v>0</v>
      </c>
      <c r="AH193" s="10">
        <v>0</v>
      </c>
      <c r="AI193" s="10">
        <v>44.779844464042327</v>
      </c>
      <c r="AJ193" s="10">
        <v>0</v>
      </c>
      <c r="AK193" s="10">
        <v>30.910994764397905</v>
      </c>
      <c r="AL193" s="10">
        <v>0</v>
      </c>
      <c r="AM193" s="10">
        <v>0</v>
      </c>
      <c r="AN193" s="10">
        <v>2</v>
      </c>
      <c r="AO193" s="10">
        <v>1</v>
      </c>
      <c r="AP193" s="10">
        <v>11</v>
      </c>
      <c r="AQ193" s="10">
        <v>0</v>
      </c>
      <c r="AR193" s="10">
        <v>0</v>
      </c>
      <c r="AS193" s="10">
        <v>0</v>
      </c>
      <c r="AT193" s="10">
        <v>5</v>
      </c>
      <c r="AU193" s="10">
        <v>0</v>
      </c>
      <c r="AV193" s="10">
        <v>0</v>
      </c>
      <c r="AW193" s="10">
        <v>0</v>
      </c>
      <c r="AX193" s="10">
        <v>1</v>
      </c>
      <c r="AY193" s="10">
        <v>0</v>
      </c>
      <c r="AZ193" s="10">
        <v>4</v>
      </c>
      <c r="BA193" s="10">
        <v>1</v>
      </c>
      <c r="BB193" s="10">
        <v>0</v>
      </c>
      <c r="BC193" s="10">
        <v>25</v>
      </c>
      <c r="BD193" s="10">
        <v>0</v>
      </c>
      <c r="BE193" s="10">
        <v>0</v>
      </c>
      <c r="BF193" s="10">
        <v>11</v>
      </c>
      <c r="BG193" s="10">
        <v>0</v>
      </c>
      <c r="BH193" s="10">
        <v>0</v>
      </c>
      <c r="BI193" s="10">
        <v>0</v>
      </c>
      <c r="BJ193" s="10">
        <v>1</v>
      </c>
      <c r="BK193" s="10">
        <v>0</v>
      </c>
      <c r="BL193" s="10">
        <v>0</v>
      </c>
      <c r="BM193" s="10">
        <v>2</v>
      </c>
      <c r="BN193" s="10">
        <v>0</v>
      </c>
      <c r="BO193" s="10">
        <v>0</v>
      </c>
      <c r="BP193" s="10">
        <v>4</v>
      </c>
      <c r="BQ193" s="10">
        <v>0</v>
      </c>
      <c r="BR193" s="10">
        <v>0</v>
      </c>
      <c r="BS193" s="10">
        <v>18</v>
      </c>
    </row>
    <row r="194" spans="1:71" x14ac:dyDescent="0.55000000000000004">
      <c r="A194" s="10">
        <v>895</v>
      </c>
      <c r="B194" s="10">
        <v>2022</v>
      </c>
      <c r="C194" s="10">
        <v>5037</v>
      </c>
      <c r="D194" s="10">
        <v>39694</v>
      </c>
      <c r="E194" s="10">
        <v>0</v>
      </c>
      <c r="F194" s="10">
        <v>10453</v>
      </c>
      <c r="G194" s="10">
        <v>8310</v>
      </c>
      <c r="H194" s="10">
        <v>0</v>
      </c>
      <c r="I194" s="10">
        <v>8288</v>
      </c>
      <c r="J194" s="10">
        <v>0</v>
      </c>
      <c r="K194" s="10">
        <v>0</v>
      </c>
      <c r="L194" s="10">
        <v>8037</v>
      </c>
      <c r="M194" s="10">
        <v>5531</v>
      </c>
      <c r="N194" s="10">
        <v>0</v>
      </c>
      <c r="O194" s="10">
        <v>3788</v>
      </c>
      <c r="P194" s="10">
        <v>18370</v>
      </c>
      <c r="Q194" s="10">
        <v>4493</v>
      </c>
      <c r="R194" s="10">
        <v>6736</v>
      </c>
      <c r="S194" s="10">
        <v>96186</v>
      </c>
      <c r="T194" s="10">
        <v>22551</v>
      </c>
      <c r="U194" s="10">
        <v>17.457415128052411</v>
      </c>
      <c r="V194" s="10">
        <v>19.383559228094924</v>
      </c>
      <c r="W194" s="10">
        <v>33.817726396917145</v>
      </c>
      <c r="X194" s="10">
        <v>0</v>
      </c>
      <c r="Y194" s="10">
        <v>25.727829331292451</v>
      </c>
      <c r="Z194" s="10">
        <v>15.641516245487363</v>
      </c>
      <c r="AA194" s="10">
        <v>0</v>
      </c>
      <c r="AB194" s="10">
        <v>30.065516409266408</v>
      </c>
      <c r="AC194" s="10">
        <v>48.911304347826082</v>
      </c>
      <c r="AD194" s="10">
        <v>0</v>
      </c>
      <c r="AE194" s="10">
        <v>20.348637551325119</v>
      </c>
      <c r="AF194" s="10">
        <v>30.83728078105225</v>
      </c>
      <c r="AG194" s="10">
        <v>0</v>
      </c>
      <c r="AH194" s="10">
        <v>20.555702217529038</v>
      </c>
      <c r="AI194" s="10">
        <v>42.120195971692979</v>
      </c>
      <c r="AJ194" s="10">
        <v>60.781626506024097</v>
      </c>
      <c r="AK194" s="10">
        <v>26.303360783440908</v>
      </c>
      <c r="AL194" s="10">
        <v>19.465706650831354</v>
      </c>
      <c r="AM194" s="10">
        <v>0</v>
      </c>
      <c r="AN194" s="10">
        <v>2</v>
      </c>
      <c r="AO194" s="10">
        <v>0</v>
      </c>
      <c r="AP194" s="10">
        <v>22</v>
      </c>
      <c r="AQ194" s="10">
        <v>0</v>
      </c>
      <c r="AR194" s="10">
        <v>4</v>
      </c>
      <c r="AS194" s="10">
        <v>0</v>
      </c>
      <c r="AT194" s="10">
        <v>8</v>
      </c>
      <c r="AU194" s="10">
        <v>1</v>
      </c>
      <c r="AV194" s="10">
        <v>0</v>
      </c>
      <c r="AW194" s="10">
        <v>1</v>
      </c>
      <c r="AX194" s="10">
        <v>1</v>
      </c>
      <c r="AY194" s="10">
        <v>12</v>
      </c>
      <c r="AZ194" s="10">
        <v>7</v>
      </c>
      <c r="BA194" s="10">
        <v>1</v>
      </c>
      <c r="BB194" s="10">
        <v>5</v>
      </c>
      <c r="BC194" s="10">
        <v>64</v>
      </c>
      <c r="BD194" s="10">
        <v>2</v>
      </c>
      <c r="BE194" s="10">
        <v>0</v>
      </c>
      <c r="BF194" s="10">
        <v>0</v>
      </c>
      <c r="BG194" s="10">
        <v>0</v>
      </c>
      <c r="BH194" s="10">
        <v>0</v>
      </c>
      <c r="BI194" s="10">
        <v>0</v>
      </c>
      <c r="BJ194" s="10">
        <v>1</v>
      </c>
      <c r="BK194" s="10">
        <v>0</v>
      </c>
      <c r="BL194" s="10">
        <v>0</v>
      </c>
      <c r="BM194" s="10">
        <v>0</v>
      </c>
      <c r="BN194" s="10">
        <v>0</v>
      </c>
      <c r="BO194" s="10">
        <v>1</v>
      </c>
      <c r="BP194" s="10">
        <v>1</v>
      </c>
      <c r="BQ194" s="10">
        <v>1</v>
      </c>
      <c r="BR194" s="10">
        <v>0</v>
      </c>
      <c r="BS194" s="10">
        <v>6</v>
      </c>
    </row>
    <row r="195" spans="1:71" x14ac:dyDescent="0.55000000000000004">
      <c r="A195" s="10">
        <v>350</v>
      </c>
      <c r="B195" s="10">
        <v>2022</v>
      </c>
      <c r="C195" s="10">
        <v>68</v>
      </c>
      <c r="D195" s="10">
        <v>39701</v>
      </c>
      <c r="E195" s="10">
        <v>24739</v>
      </c>
      <c r="F195" s="10">
        <v>5807</v>
      </c>
      <c r="G195" s="10">
        <v>0</v>
      </c>
      <c r="H195" s="10">
        <v>0</v>
      </c>
      <c r="I195" s="10">
        <v>5229</v>
      </c>
      <c r="J195" s="10">
        <v>691</v>
      </c>
      <c r="K195" s="10">
        <v>0</v>
      </c>
      <c r="L195" s="10">
        <v>9573</v>
      </c>
      <c r="M195" s="10">
        <v>6884</v>
      </c>
      <c r="N195" s="10">
        <v>405</v>
      </c>
      <c r="O195" s="10">
        <v>3151</v>
      </c>
      <c r="P195" s="10">
        <v>30743</v>
      </c>
      <c r="Q195" s="10">
        <v>7902</v>
      </c>
      <c r="R195" s="10">
        <v>0</v>
      </c>
      <c r="S195" s="10">
        <v>101196</v>
      </c>
      <c r="T195" s="10">
        <v>33697</v>
      </c>
      <c r="U195" s="10">
        <v>20.985294117647058</v>
      </c>
      <c r="V195" s="10">
        <v>22.183874461600464</v>
      </c>
      <c r="W195" s="10">
        <v>0</v>
      </c>
      <c r="X195" s="10">
        <v>16.284975140466468</v>
      </c>
      <c r="Y195" s="10">
        <v>34.541759944894096</v>
      </c>
      <c r="Z195" s="10">
        <v>0</v>
      </c>
      <c r="AA195" s="10">
        <v>0</v>
      </c>
      <c r="AB195" s="10">
        <v>31.548479632816981</v>
      </c>
      <c r="AC195" s="10">
        <v>51.292517006802719</v>
      </c>
      <c r="AD195" s="10">
        <v>0</v>
      </c>
      <c r="AE195" s="10">
        <v>25.160764650579754</v>
      </c>
      <c r="AF195" s="10">
        <v>46.111998837884947</v>
      </c>
      <c r="AG195" s="10">
        <v>27.009876543209877</v>
      </c>
      <c r="AH195" s="10">
        <v>28.174547762615045</v>
      </c>
      <c r="AI195" s="10">
        <v>39.481117652799007</v>
      </c>
      <c r="AJ195" s="10">
        <v>60.506666666666661</v>
      </c>
      <c r="AK195" s="10">
        <v>26.366995697291827</v>
      </c>
      <c r="AL195" s="10">
        <v>0</v>
      </c>
      <c r="AM195" s="10">
        <v>0</v>
      </c>
      <c r="AN195" s="10">
        <v>0</v>
      </c>
      <c r="AO195" s="10">
        <v>3</v>
      </c>
      <c r="AP195" s="10">
        <v>19</v>
      </c>
      <c r="AQ195" s="10">
        <v>11</v>
      </c>
      <c r="AR195" s="10">
        <v>0</v>
      </c>
      <c r="AS195" s="10">
        <v>0</v>
      </c>
      <c r="AT195" s="10">
        <v>4</v>
      </c>
      <c r="AU195" s="10">
        <v>2</v>
      </c>
      <c r="AV195" s="10">
        <v>0</v>
      </c>
      <c r="AW195" s="10">
        <v>4</v>
      </c>
      <c r="AX195" s="10">
        <v>3</v>
      </c>
      <c r="AY195" s="10">
        <v>0</v>
      </c>
      <c r="AZ195" s="10">
        <v>9</v>
      </c>
      <c r="BA195" s="10">
        <v>4</v>
      </c>
      <c r="BB195" s="10">
        <v>0</v>
      </c>
      <c r="BC195" s="10">
        <v>59</v>
      </c>
      <c r="BD195" s="10">
        <v>0</v>
      </c>
      <c r="BE195" s="10">
        <v>0</v>
      </c>
      <c r="BF195" s="10">
        <v>4</v>
      </c>
      <c r="BG195" s="10">
        <v>10</v>
      </c>
      <c r="BH195" s="10">
        <v>0</v>
      </c>
      <c r="BI195" s="10">
        <v>0</v>
      </c>
      <c r="BJ195" s="10">
        <v>0</v>
      </c>
      <c r="BK195" s="10">
        <v>0</v>
      </c>
      <c r="BL195" s="10">
        <v>0</v>
      </c>
      <c r="BM195" s="10">
        <v>2</v>
      </c>
      <c r="BN195" s="10">
        <v>0</v>
      </c>
      <c r="BO195" s="10">
        <v>0</v>
      </c>
      <c r="BP195" s="10">
        <v>4</v>
      </c>
      <c r="BQ195" s="10">
        <v>0</v>
      </c>
      <c r="BR195" s="10">
        <v>0</v>
      </c>
      <c r="BS195" s="10">
        <v>20</v>
      </c>
    </row>
    <row r="196" spans="1:71" x14ac:dyDescent="0.55000000000000004">
      <c r="A196" s="10">
        <v>486</v>
      </c>
      <c r="B196" s="10">
        <v>2022</v>
      </c>
      <c r="C196" s="10">
        <v>6708</v>
      </c>
      <c r="D196" s="10">
        <v>39710</v>
      </c>
      <c r="E196" s="10">
        <v>24053</v>
      </c>
      <c r="F196" s="10">
        <v>5517</v>
      </c>
      <c r="G196" s="10">
        <v>4807</v>
      </c>
      <c r="H196" s="10">
        <v>329</v>
      </c>
      <c r="I196" s="10">
        <v>13794</v>
      </c>
      <c r="J196" s="10">
        <v>0</v>
      </c>
      <c r="K196" s="10">
        <v>0</v>
      </c>
      <c r="L196" s="10">
        <v>4917</v>
      </c>
      <c r="M196" s="10">
        <v>7836</v>
      </c>
      <c r="N196" s="10">
        <v>0</v>
      </c>
      <c r="O196" s="10">
        <v>3969</v>
      </c>
      <c r="P196" s="10">
        <v>10822</v>
      </c>
      <c r="Q196" s="10">
        <v>4517</v>
      </c>
      <c r="R196" s="10">
        <v>0</v>
      </c>
      <c r="S196" s="10">
        <v>88304</v>
      </c>
      <c r="T196" s="10">
        <v>38675</v>
      </c>
      <c r="U196" s="10">
        <v>20.927847346451998</v>
      </c>
      <c r="V196" s="10">
        <v>19.692873331654496</v>
      </c>
      <c r="W196" s="10">
        <v>33.93766149870801</v>
      </c>
      <c r="X196" s="10">
        <v>19.249740157152953</v>
      </c>
      <c r="Y196" s="10">
        <v>30.594707268442992</v>
      </c>
      <c r="Z196" s="10">
        <v>14.642396505096732</v>
      </c>
      <c r="AA196" s="10">
        <v>15.94224924012158</v>
      </c>
      <c r="AB196" s="10">
        <v>35.47839640423372</v>
      </c>
      <c r="AC196" s="10">
        <v>50.766821345707655</v>
      </c>
      <c r="AD196" s="10">
        <v>0</v>
      </c>
      <c r="AE196" s="10">
        <v>19.958104535285742</v>
      </c>
      <c r="AF196" s="10">
        <v>46.6888718734048</v>
      </c>
      <c r="AG196" s="10">
        <v>0</v>
      </c>
      <c r="AH196" s="10">
        <v>17.618795666414712</v>
      </c>
      <c r="AI196" s="10">
        <v>41.00840879689521</v>
      </c>
      <c r="AJ196" s="10">
        <v>62.363109048723899</v>
      </c>
      <c r="AK196" s="10">
        <v>28.075271197697585</v>
      </c>
      <c r="AL196" s="10">
        <v>0</v>
      </c>
      <c r="AM196" s="10">
        <v>0</v>
      </c>
      <c r="AN196" s="10">
        <v>2</v>
      </c>
      <c r="AO196" s="10">
        <v>25</v>
      </c>
      <c r="AP196" s="10">
        <v>15</v>
      </c>
      <c r="AQ196" s="10">
        <v>17</v>
      </c>
      <c r="AR196" s="10">
        <v>11</v>
      </c>
      <c r="AS196" s="10">
        <v>2</v>
      </c>
      <c r="AT196" s="10">
        <v>4</v>
      </c>
      <c r="AU196" s="10">
        <v>5</v>
      </c>
      <c r="AV196" s="10">
        <v>0</v>
      </c>
      <c r="AW196" s="10">
        <v>0</v>
      </c>
      <c r="AX196" s="10">
        <v>1</v>
      </c>
      <c r="AY196" s="10">
        <v>2</v>
      </c>
      <c r="AZ196" s="10">
        <v>3</v>
      </c>
      <c r="BA196" s="10">
        <v>2</v>
      </c>
      <c r="BB196" s="10">
        <v>0</v>
      </c>
      <c r="BC196" s="10">
        <v>89</v>
      </c>
      <c r="BD196" s="10">
        <v>1</v>
      </c>
      <c r="BE196" s="10">
        <v>2</v>
      </c>
      <c r="BF196" s="10">
        <v>5</v>
      </c>
      <c r="BG196" s="10">
        <v>29</v>
      </c>
      <c r="BH196" s="10">
        <v>0</v>
      </c>
      <c r="BI196" s="10">
        <v>0</v>
      </c>
      <c r="BJ196" s="10">
        <v>1</v>
      </c>
      <c r="BK196" s="10">
        <v>2</v>
      </c>
      <c r="BL196" s="10">
        <v>0</v>
      </c>
      <c r="BM196" s="10">
        <v>0</v>
      </c>
      <c r="BN196" s="10">
        <v>2</v>
      </c>
      <c r="BO196" s="10">
        <v>1</v>
      </c>
      <c r="BP196" s="10">
        <v>0</v>
      </c>
      <c r="BQ196" s="10">
        <v>0</v>
      </c>
      <c r="BR196" s="10">
        <v>0</v>
      </c>
      <c r="BS196" s="10">
        <v>43</v>
      </c>
    </row>
    <row r="197" spans="1:71" x14ac:dyDescent="0.55000000000000004">
      <c r="A197" s="10" t="e">
        <v>#N/A</v>
      </c>
      <c r="B197" s="10">
        <v>2022</v>
      </c>
      <c r="C197" s="10">
        <v>2544</v>
      </c>
      <c r="D197" s="10">
        <v>39738</v>
      </c>
      <c r="E197" s="10">
        <v>38491</v>
      </c>
      <c r="F197" s="10">
        <v>11587</v>
      </c>
      <c r="G197" s="10">
        <v>6975</v>
      </c>
      <c r="H197" s="10">
        <v>3079</v>
      </c>
      <c r="I197" s="10">
        <v>9212</v>
      </c>
      <c r="J197" s="10">
        <v>0</v>
      </c>
      <c r="K197" s="10">
        <v>0</v>
      </c>
      <c r="L197" s="10">
        <v>6510</v>
      </c>
      <c r="M197" s="10">
        <v>5014</v>
      </c>
      <c r="N197" s="10">
        <v>488</v>
      </c>
      <c r="O197" s="10">
        <v>4896</v>
      </c>
      <c r="P197" s="10">
        <v>29883</v>
      </c>
      <c r="Q197" s="10">
        <v>4668</v>
      </c>
      <c r="R197" s="10">
        <v>7191</v>
      </c>
      <c r="S197" s="10">
        <v>105248</v>
      </c>
      <c r="T197" s="10">
        <v>65028</v>
      </c>
      <c r="U197" s="10">
        <v>19.212657232704402</v>
      </c>
      <c r="V197" s="10">
        <v>21.760430821883336</v>
      </c>
      <c r="W197" s="10">
        <v>0</v>
      </c>
      <c r="X197" s="10">
        <v>8.067652178431322</v>
      </c>
      <c r="Y197" s="10">
        <v>37.422974022611548</v>
      </c>
      <c r="Z197" s="10">
        <v>18.216630824372761</v>
      </c>
      <c r="AA197" s="10">
        <v>21.550178629425137</v>
      </c>
      <c r="AB197" s="10">
        <v>30.877116804168477</v>
      </c>
      <c r="AC197" s="10">
        <v>53.621621621621621</v>
      </c>
      <c r="AD197" s="10">
        <v>0</v>
      </c>
      <c r="AE197" s="10">
        <v>19.947772657450074</v>
      </c>
      <c r="AF197" s="10">
        <v>48.957319505384923</v>
      </c>
      <c r="AG197" s="10">
        <v>25.122950819672131</v>
      </c>
      <c r="AH197" s="10">
        <v>23.024918300653596</v>
      </c>
      <c r="AI197" s="10">
        <v>42.496804203058602</v>
      </c>
      <c r="AJ197" s="10">
        <v>62.334928229665067</v>
      </c>
      <c r="AK197" s="10">
        <v>28.800342759211652</v>
      </c>
      <c r="AL197" s="10">
        <v>27.198025309414543</v>
      </c>
      <c r="AM197" s="10">
        <v>0</v>
      </c>
      <c r="AN197" s="10">
        <v>2</v>
      </c>
      <c r="AO197" s="10">
        <v>7</v>
      </c>
      <c r="AP197" s="10">
        <v>13</v>
      </c>
      <c r="AQ197" s="10">
        <v>15</v>
      </c>
      <c r="AR197" s="10">
        <v>3</v>
      </c>
      <c r="AS197" s="10">
        <v>1</v>
      </c>
      <c r="AT197" s="10">
        <v>5</v>
      </c>
      <c r="AU197" s="10">
        <v>2</v>
      </c>
      <c r="AV197" s="10">
        <v>0</v>
      </c>
      <c r="AW197" s="10">
        <v>3</v>
      </c>
      <c r="AX197" s="10">
        <v>2</v>
      </c>
      <c r="AY197" s="10">
        <v>1</v>
      </c>
      <c r="AZ197" s="10">
        <v>14</v>
      </c>
      <c r="BA197" s="10">
        <v>3</v>
      </c>
      <c r="BB197" s="10">
        <v>3</v>
      </c>
      <c r="BC197" s="10">
        <v>74</v>
      </c>
      <c r="BD197" s="10">
        <v>0</v>
      </c>
      <c r="BE197" s="10">
        <v>2</v>
      </c>
      <c r="BF197" s="10">
        <v>9</v>
      </c>
      <c r="BG197" s="10">
        <v>11</v>
      </c>
      <c r="BH197" s="10">
        <v>1</v>
      </c>
      <c r="BI197" s="10">
        <v>1</v>
      </c>
      <c r="BJ197" s="10">
        <v>1</v>
      </c>
      <c r="BK197" s="10">
        <v>2</v>
      </c>
      <c r="BL197" s="10">
        <v>0</v>
      </c>
      <c r="BM197" s="10">
        <v>0</v>
      </c>
      <c r="BN197" s="10">
        <v>1</v>
      </c>
      <c r="BO197" s="10">
        <v>0</v>
      </c>
      <c r="BP197" s="10">
        <v>3</v>
      </c>
      <c r="BQ197" s="10">
        <v>0</v>
      </c>
      <c r="BR197" s="10">
        <v>2</v>
      </c>
      <c r="BS197" s="10">
        <v>33</v>
      </c>
    </row>
    <row r="198" spans="1:71" x14ac:dyDescent="0.55000000000000004">
      <c r="A198" s="10">
        <v>660</v>
      </c>
      <c r="B198" s="10">
        <v>2022</v>
      </c>
      <c r="C198" s="10">
        <v>6820</v>
      </c>
      <c r="D198" s="10">
        <v>39815</v>
      </c>
      <c r="E198" s="10">
        <v>14848</v>
      </c>
      <c r="F198" s="10">
        <v>10191</v>
      </c>
      <c r="G198" s="10">
        <v>7958</v>
      </c>
      <c r="H198" s="10">
        <v>3369</v>
      </c>
      <c r="I198" s="10">
        <v>3995</v>
      </c>
      <c r="J198" s="10">
        <v>0</v>
      </c>
      <c r="K198" s="10">
        <v>0</v>
      </c>
      <c r="L198" s="10">
        <v>4466</v>
      </c>
      <c r="M198" s="10">
        <v>2195</v>
      </c>
      <c r="N198" s="10">
        <v>0</v>
      </c>
      <c r="O198" s="10">
        <v>9558</v>
      </c>
      <c r="P198" s="10">
        <v>23378</v>
      </c>
      <c r="Q198" s="10">
        <v>2240</v>
      </c>
      <c r="R198" s="10">
        <v>1929</v>
      </c>
      <c r="S198" s="10">
        <v>84838</v>
      </c>
      <c r="T198" s="10">
        <v>45924</v>
      </c>
      <c r="U198" s="10">
        <v>29.712463343108503</v>
      </c>
      <c r="V198" s="10">
        <v>22.125781740550046</v>
      </c>
      <c r="W198" s="10">
        <v>68.654452690166977</v>
      </c>
      <c r="X198" s="10">
        <v>15.19073275862069</v>
      </c>
      <c r="Y198" s="10">
        <v>38.711215778628201</v>
      </c>
      <c r="Z198" s="10">
        <v>14.967077155064086</v>
      </c>
      <c r="AA198" s="10">
        <v>6.6414366280795489</v>
      </c>
      <c r="AB198" s="10">
        <v>30.889862327909885</v>
      </c>
      <c r="AC198" s="10">
        <v>64.882882882882882</v>
      </c>
      <c r="AD198" s="10">
        <v>0</v>
      </c>
      <c r="AE198" s="10">
        <v>19.296014330497091</v>
      </c>
      <c r="AF198" s="10">
        <v>48.279726651480637</v>
      </c>
      <c r="AG198" s="10">
        <v>0</v>
      </c>
      <c r="AH198" s="10">
        <v>21.207156308851221</v>
      </c>
      <c r="AI198" s="10">
        <v>39.414920010266059</v>
      </c>
      <c r="AJ198" s="10">
        <v>95.563263041065483</v>
      </c>
      <c r="AK198" s="10">
        <v>30.213392857142857</v>
      </c>
      <c r="AL198" s="10">
        <v>23.646448937273199</v>
      </c>
      <c r="AM198" s="10">
        <v>69.296296296296291</v>
      </c>
      <c r="AN198" s="10">
        <v>3</v>
      </c>
      <c r="AO198" s="10">
        <v>5</v>
      </c>
      <c r="AP198" s="10">
        <v>15</v>
      </c>
      <c r="AQ198" s="10">
        <v>7</v>
      </c>
      <c r="AR198" s="10">
        <v>4</v>
      </c>
      <c r="AS198" s="10">
        <v>0</v>
      </c>
      <c r="AT198" s="10">
        <v>2</v>
      </c>
      <c r="AU198" s="10">
        <v>1</v>
      </c>
      <c r="AV198" s="10">
        <v>0</v>
      </c>
      <c r="AW198" s="10">
        <v>2</v>
      </c>
      <c r="AX198" s="10">
        <v>5</v>
      </c>
      <c r="AY198" s="10">
        <v>0</v>
      </c>
      <c r="AZ198" s="10">
        <v>6</v>
      </c>
      <c r="BA198" s="10">
        <v>1</v>
      </c>
      <c r="BB198" s="10">
        <v>2</v>
      </c>
      <c r="BC198" s="10">
        <v>53</v>
      </c>
      <c r="BD198" s="10">
        <v>0</v>
      </c>
      <c r="BE198" s="10">
        <v>1</v>
      </c>
      <c r="BF198" s="10">
        <v>4</v>
      </c>
      <c r="BG198" s="10">
        <v>1</v>
      </c>
      <c r="BH198" s="10">
        <v>4</v>
      </c>
      <c r="BI198" s="10">
        <v>1</v>
      </c>
      <c r="BJ198" s="10">
        <v>0</v>
      </c>
      <c r="BK198" s="10">
        <v>1</v>
      </c>
      <c r="BL198" s="10">
        <v>0</v>
      </c>
      <c r="BM198" s="10">
        <v>0</v>
      </c>
      <c r="BN198" s="10">
        <v>0</v>
      </c>
      <c r="BO198" s="10">
        <v>0</v>
      </c>
      <c r="BP198" s="10">
        <v>2</v>
      </c>
      <c r="BQ198" s="10">
        <v>0</v>
      </c>
      <c r="BR198" s="10">
        <v>1</v>
      </c>
      <c r="BS198" s="10">
        <v>15</v>
      </c>
    </row>
    <row r="199" spans="1:71" x14ac:dyDescent="0.55000000000000004">
      <c r="A199" s="10">
        <v>173</v>
      </c>
      <c r="B199" s="10">
        <v>2022</v>
      </c>
      <c r="C199" s="10">
        <v>9182</v>
      </c>
      <c r="D199" s="10">
        <v>39946</v>
      </c>
      <c r="E199" s="10">
        <v>26021</v>
      </c>
      <c r="F199" s="10">
        <v>8059</v>
      </c>
      <c r="G199" s="10">
        <v>10116</v>
      </c>
      <c r="H199" s="10">
        <v>5571</v>
      </c>
      <c r="I199" s="10">
        <v>13604</v>
      </c>
      <c r="J199" s="10">
        <v>0</v>
      </c>
      <c r="K199" s="10">
        <v>0</v>
      </c>
      <c r="L199" s="10">
        <v>4181</v>
      </c>
      <c r="M199" s="10">
        <v>6455</v>
      </c>
      <c r="N199" s="10">
        <v>0</v>
      </c>
      <c r="O199" s="10">
        <v>9500</v>
      </c>
      <c r="P199" s="10">
        <v>17738</v>
      </c>
      <c r="Q199" s="10">
        <v>2032</v>
      </c>
      <c r="R199" s="10">
        <v>19841</v>
      </c>
      <c r="S199" s="10">
        <v>112979</v>
      </c>
      <c r="T199" s="10">
        <v>59267</v>
      </c>
      <c r="U199" s="10">
        <v>20.369418427357875</v>
      </c>
      <c r="V199" s="10">
        <v>20.621814449506832</v>
      </c>
      <c r="W199" s="10">
        <v>0</v>
      </c>
      <c r="X199" s="10">
        <v>16.252142500288226</v>
      </c>
      <c r="Y199" s="10">
        <v>32.815237622533814</v>
      </c>
      <c r="Z199" s="10">
        <v>19.169533412415973</v>
      </c>
      <c r="AA199" s="10">
        <v>18.938431161371387</v>
      </c>
      <c r="AB199" s="10">
        <v>26.870626286386354</v>
      </c>
      <c r="AC199" s="10">
        <v>0</v>
      </c>
      <c r="AD199" s="10">
        <v>0</v>
      </c>
      <c r="AE199" s="10">
        <v>22.973212150203302</v>
      </c>
      <c r="AF199" s="10">
        <v>34.145313710302091</v>
      </c>
      <c r="AG199" s="10">
        <v>0</v>
      </c>
      <c r="AH199" s="10">
        <v>22.27642105263158</v>
      </c>
      <c r="AI199" s="10">
        <v>35.302401623632882</v>
      </c>
      <c r="AJ199" s="10">
        <v>0</v>
      </c>
      <c r="AK199" s="10">
        <v>28.881397637795274</v>
      </c>
      <c r="AL199" s="10">
        <v>22.357592863262941</v>
      </c>
      <c r="AM199" s="10">
        <v>0</v>
      </c>
      <c r="AN199" s="10">
        <v>4</v>
      </c>
      <c r="AO199" s="10">
        <v>4</v>
      </c>
      <c r="AP199" s="10">
        <v>8</v>
      </c>
      <c r="AQ199" s="10">
        <v>10</v>
      </c>
      <c r="AR199" s="10">
        <v>5</v>
      </c>
      <c r="AS199" s="10">
        <v>1</v>
      </c>
      <c r="AT199" s="10">
        <v>7</v>
      </c>
      <c r="AU199" s="10">
        <v>6</v>
      </c>
      <c r="AV199" s="10">
        <v>0</v>
      </c>
      <c r="AW199" s="10">
        <v>1</v>
      </c>
      <c r="AX199" s="10">
        <v>1</v>
      </c>
      <c r="AY199" s="10">
        <v>0</v>
      </c>
      <c r="AZ199" s="10">
        <v>7</v>
      </c>
      <c r="BA199" s="10">
        <v>1</v>
      </c>
      <c r="BB199" s="10">
        <v>11</v>
      </c>
      <c r="BC199" s="10">
        <v>66</v>
      </c>
      <c r="BD199" s="10">
        <v>1</v>
      </c>
      <c r="BE199" s="10">
        <v>0</v>
      </c>
      <c r="BF199" s="10">
        <v>25</v>
      </c>
      <c r="BG199" s="10">
        <v>6</v>
      </c>
      <c r="BH199" s="10">
        <v>2</v>
      </c>
      <c r="BI199" s="10">
        <v>4</v>
      </c>
      <c r="BJ199" s="10">
        <v>2</v>
      </c>
      <c r="BK199" s="10">
        <v>1</v>
      </c>
      <c r="BL199" s="10">
        <v>0</v>
      </c>
      <c r="BM199" s="10">
        <v>0</v>
      </c>
      <c r="BN199" s="10">
        <v>0</v>
      </c>
      <c r="BO199" s="10">
        <v>0</v>
      </c>
      <c r="BP199" s="10">
        <v>2</v>
      </c>
      <c r="BQ199" s="10">
        <v>0</v>
      </c>
      <c r="BR199" s="10">
        <v>2</v>
      </c>
      <c r="BS199" s="10">
        <v>45</v>
      </c>
    </row>
    <row r="200" spans="1:71" x14ac:dyDescent="0.55000000000000004">
      <c r="A200" s="10">
        <v>437</v>
      </c>
      <c r="B200" s="10">
        <v>2022</v>
      </c>
      <c r="C200" s="10">
        <v>4815</v>
      </c>
      <c r="D200" s="10">
        <v>39996</v>
      </c>
      <c r="E200" s="10">
        <v>10575</v>
      </c>
      <c r="F200" s="10">
        <v>7411</v>
      </c>
      <c r="G200" s="10">
        <v>4732</v>
      </c>
      <c r="H200" s="10">
        <v>1139</v>
      </c>
      <c r="I200" s="10">
        <v>10937</v>
      </c>
      <c r="J200" s="10">
        <v>0</v>
      </c>
      <c r="K200" s="10">
        <v>0</v>
      </c>
      <c r="L200" s="10">
        <v>2037</v>
      </c>
      <c r="M200" s="10">
        <v>5025</v>
      </c>
      <c r="N200" s="10">
        <v>274</v>
      </c>
      <c r="O200" s="10">
        <v>1792</v>
      </c>
      <c r="P200" s="10">
        <v>12300</v>
      </c>
      <c r="Q200" s="10">
        <v>2080</v>
      </c>
      <c r="R200" s="10">
        <v>725</v>
      </c>
      <c r="S200" s="10">
        <v>78189</v>
      </c>
      <c r="T200" s="10">
        <v>25649</v>
      </c>
      <c r="U200" s="10">
        <v>18.712149532710278</v>
      </c>
      <c r="V200" s="10">
        <v>23.908715871587159</v>
      </c>
      <c r="W200" s="10">
        <v>35.229629629629628</v>
      </c>
      <c r="X200" s="10">
        <v>20.738061465721039</v>
      </c>
      <c r="Y200" s="10">
        <v>28.661988935366345</v>
      </c>
      <c r="Z200" s="10">
        <v>18.810228233305157</v>
      </c>
      <c r="AA200" s="10">
        <v>15.936786654960491</v>
      </c>
      <c r="AB200" s="10">
        <v>31.1711621102679</v>
      </c>
      <c r="AC200" s="10">
        <v>46.229166666666664</v>
      </c>
      <c r="AD200" s="10">
        <v>0</v>
      </c>
      <c r="AE200" s="10">
        <v>23.848797250859104</v>
      </c>
      <c r="AF200" s="10">
        <v>38.772736318407958</v>
      </c>
      <c r="AG200" s="10">
        <v>19.018248175182482</v>
      </c>
      <c r="AH200" s="10">
        <v>21.209263392857142</v>
      </c>
      <c r="AI200" s="10">
        <v>44.390731707317066</v>
      </c>
      <c r="AJ200" s="10">
        <v>68.943462897526501</v>
      </c>
      <c r="AK200" s="10">
        <v>25.853365384615383</v>
      </c>
      <c r="AL200" s="10">
        <v>29.186206896551724</v>
      </c>
      <c r="AM200" s="10">
        <v>37.904761904761905</v>
      </c>
      <c r="AN200" s="10">
        <v>2</v>
      </c>
      <c r="AO200" s="10">
        <v>2</v>
      </c>
      <c r="AP200" s="10">
        <v>13</v>
      </c>
      <c r="AQ200" s="10">
        <v>5</v>
      </c>
      <c r="AR200" s="10">
        <v>1</v>
      </c>
      <c r="AS200" s="10">
        <v>0</v>
      </c>
      <c r="AT200" s="10">
        <v>2</v>
      </c>
      <c r="AU200" s="10">
        <v>1</v>
      </c>
      <c r="AV200" s="10">
        <v>0</v>
      </c>
      <c r="AW200" s="10">
        <v>1</v>
      </c>
      <c r="AX200" s="10">
        <v>3</v>
      </c>
      <c r="AY200" s="10">
        <v>0</v>
      </c>
      <c r="AZ200" s="10">
        <v>4</v>
      </c>
      <c r="BA200" s="10">
        <v>1</v>
      </c>
      <c r="BB200" s="10">
        <v>0</v>
      </c>
      <c r="BC200" s="10">
        <v>35</v>
      </c>
      <c r="BD200" s="10">
        <v>5</v>
      </c>
      <c r="BE200" s="10">
        <v>0</v>
      </c>
      <c r="BF200" s="10">
        <v>17</v>
      </c>
      <c r="BG200" s="10">
        <v>3</v>
      </c>
      <c r="BH200" s="10">
        <v>0</v>
      </c>
      <c r="BI200" s="10">
        <v>1</v>
      </c>
      <c r="BJ200" s="10">
        <v>6</v>
      </c>
      <c r="BK200" s="10">
        <v>0</v>
      </c>
      <c r="BL200" s="10">
        <v>0</v>
      </c>
      <c r="BM200" s="10">
        <v>1</v>
      </c>
      <c r="BN200" s="10">
        <v>0</v>
      </c>
      <c r="BO200" s="10">
        <v>1</v>
      </c>
      <c r="BP200" s="10">
        <v>4</v>
      </c>
      <c r="BQ200" s="10">
        <v>0</v>
      </c>
      <c r="BR200" s="10">
        <v>0</v>
      </c>
      <c r="BS200" s="10">
        <v>38</v>
      </c>
    </row>
    <row r="201" spans="1:71" x14ac:dyDescent="0.55000000000000004">
      <c r="A201" s="10">
        <v>928</v>
      </c>
      <c r="B201" s="10">
        <v>2022</v>
      </c>
      <c r="C201" s="10">
        <v>4121</v>
      </c>
      <c r="D201" s="10">
        <v>40080</v>
      </c>
      <c r="E201" s="10">
        <v>6099</v>
      </c>
      <c r="F201" s="10">
        <v>4347</v>
      </c>
      <c r="G201" s="10">
        <v>3204</v>
      </c>
      <c r="H201" s="10">
        <v>2338</v>
      </c>
      <c r="I201" s="10">
        <v>14936</v>
      </c>
      <c r="J201" s="10">
        <v>0</v>
      </c>
      <c r="K201" s="10">
        <v>0</v>
      </c>
      <c r="L201" s="10">
        <v>1980</v>
      </c>
      <c r="M201" s="10">
        <v>7383</v>
      </c>
      <c r="N201" s="10">
        <v>0</v>
      </c>
      <c r="O201" s="10">
        <v>3721</v>
      </c>
      <c r="P201" s="10">
        <v>6187</v>
      </c>
      <c r="Q201" s="10">
        <v>1942</v>
      </c>
      <c r="R201" s="10">
        <v>3782</v>
      </c>
      <c r="S201" s="10">
        <v>80411</v>
      </c>
      <c r="T201" s="10">
        <v>19709</v>
      </c>
      <c r="U201" s="10">
        <v>18.991021596699831</v>
      </c>
      <c r="V201" s="10">
        <v>22.4374750499002</v>
      </c>
      <c r="W201" s="10">
        <v>0</v>
      </c>
      <c r="X201" s="10">
        <v>18.348417773405476</v>
      </c>
      <c r="Y201" s="10">
        <v>48.66275592362549</v>
      </c>
      <c r="Z201" s="10">
        <v>17.066167290886391</v>
      </c>
      <c r="AA201" s="10">
        <v>16.180923866552607</v>
      </c>
      <c r="AB201" s="10">
        <v>28.852303160149972</v>
      </c>
      <c r="AC201" s="10">
        <v>0</v>
      </c>
      <c r="AD201" s="10">
        <v>0</v>
      </c>
      <c r="AE201" s="10">
        <v>19.447979797979798</v>
      </c>
      <c r="AF201" s="10">
        <v>41.406880671813624</v>
      </c>
      <c r="AG201" s="10">
        <v>0</v>
      </c>
      <c r="AH201" s="10">
        <v>24.253963988175222</v>
      </c>
      <c r="AI201" s="10">
        <v>35.846290609342169</v>
      </c>
      <c r="AJ201" s="10">
        <v>0</v>
      </c>
      <c r="AK201" s="10">
        <v>30.218846549948509</v>
      </c>
      <c r="AL201" s="10">
        <v>21.895557905869911</v>
      </c>
      <c r="AM201" s="10">
        <v>0</v>
      </c>
      <c r="AN201" s="10">
        <v>2</v>
      </c>
      <c r="AO201" s="10">
        <v>2</v>
      </c>
      <c r="AP201" s="10">
        <v>19</v>
      </c>
      <c r="AQ201" s="10">
        <v>3</v>
      </c>
      <c r="AR201" s="10">
        <v>1</v>
      </c>
      <c r="AS201" s="10">
        <v>1</v>
      </c>
      <c r="AT201" s="10">
        <v>5</v>
      </c>
      <c r="AU201" s="10">
        <v>2</v>
      </c>
      <c r="AV201" s="10">
        <v>0</v>
      </c>
      <c r="AW201" s="10">
        <v>1</v>
      </c>
      <c r="AX201" s="10">
        <v>3</v>
      </c>
      <c r="AY201" s="10">
        <v>0</v>
      </c>
      <c r="AZ201" s="10">
        <v>2</v>
      </c>
      <c r="BA201" s="10">
        <v>1</v>
      </c>
      <c r="BB201" s="10">
        <v>2</v>
      </c>
      <c r="BC201" s="10">
        <v>44</v>
      </c>
      <c r="BD201" s="10">
        <v>0</v>
      </c>
      <c r="BE201" s="10">
        <v>0</v>
      </c>
      <c r="BF201" s="10">
        <v>6</v>
      </c>
      <c r="BG201" s="10">
        <v>3</v>
      </c>
      <c r="BH201" s="10">
        <v>2</v>
      </c>
      <c r="BI201" s="10">
        <v>0</v>
      </c>
      <c r="BJ201" s="10">
        <v>4</v>
      </c>
      <c r="BK201" s="10">
        <v>0</v>
      </c>
      <c r="BL201" s="10">
        <v>0</v>
      </c>
      <c r="BM201" s="10">
        <v>0</v>
      </c>
      <c r="BN201" s="10">
        <v>1</v>
      </c>
      <c r="BO201" s="10">
        <v>0</v>
      </c>
      <c r="BP201" s="10">
        <v>2</v>
      </c>
      <c r="BQ201" s="10">
        <v>0</v>
      </c>
      <c r="BR201" s="10">
        <v>0</v>
      </c>
      <c r="BS201" s="10">
        <v>18</v>
      </c>
    </row>
    <row r="202" spans="1:71" x14ac:dyDescent="0.55000000000000004">
      <c r="A202" s="10">
        <v>479</v>
      </c>
      <c r="B202" s="10">
        <v>2022</v>
      </c>
      <c r="C202" s="10">
        <v>9974</v>
      </c>
      <c r="D202" s="10">
        <v>40101</v>
      </c>
      <c r="E202" s="10">
        <v>17505</v>
      </c>
      <c r="F202" s="10">
        <v>11471</v>
      </c>
      <c r="G202" s="10">
        <v>0</v>
      </c>
      <c r="H202" s="10">
        <v>0</v>
      </c>
      <c r="I202" s="10">
        <v>18046</v>
      </c>
      <c r="J202" s="10">
        <v>0</v>
      </c>
      <c r="K202" s="10">
        <v>0</v>
      </c>
      <c r="L202" s="10">
        <v>5260</v>
      </c>
      <c r="M202" s="10">
        <v>7069</v>
      </c>
      <c r="N202" s="10">
        <v>0</v>
      </c>
      <c r="O202" s="10">
        <v>2251</v>
      </c>
      <c r="P202" s="10">
        <v>6250</v>
      </c>
      <c r="Q202" s="10">
        <v>6226</v>
      </c>
      <c r="R202" s="10">
        <v>6915</v>
      </c>
      <c r="S202" s="10">
        <v>99841</v>
      </c>
      <c r="T202" s="10">
        <v>31227</v>
      </c>
      <c r="U202" s="10">
        <v>17.209544816522961</v>
      </c>
      <c r="V202" s="10">
        <v>17.796613550784269</v>
      </c>
      <c r="W202" s="10">
        <v>33.022388059701491</v>
      </c>
      <c r="X202" s="10">
        <v>18.115795487003712</v>
      </c>
      <c r="Y202" s="10">
        <v>18.747711620608492</v>
      </c>
      <c r="Z202" s="10">
        <v>0</v>
      </c>
      <c r="AA202" s="10">
        <v>0</v>
      </c>
      <c r="AB202" s="10">
        <v>31.420702648786435</v>
      </c>
      <c r="AC202" s="10">
        <v>48.034482758620683</v>
      </c>
      <c r="AD202" s="10">
        <v>0</v>
      </c>
      <c r="AE202" s="10">
        <v>25.685931558935362</v>
      </c>
      <c r="AF202" s="10">
        <v>41.416749186589328</v>
      </c>
      <c r="AG202" s="10">
        <v>0</v>
      </c>
      <c r="AH202" s="10">
        <v>19.399378054198134</v>
      </c>
      <c r="AI202" s="10">
        <v>36.963520000000003</v>
      </c>
      <c r="AJ202" s="10">
        <v>60.079754601226988</v>
      </c>
      <c r="AK202" s="10">
        <v>27.449566334725347</v>
      </c>
      <c r="AL202" s="10">
        <v>21.814316702819955</v>
      </c>
      <c r="AM202" s="10">
        <v>0</v>
      </c>
      <c r="AN202" s="10">
        <v>2</v>
      </c>
      <c r="AO202" s="10">
        <v>4</v>
      </c>
      <c r="AP202" s="10">
        <v>13</v>
      </c>
      <c r="AQ202" s="10">
        <v>4</v>
      </c>
      <c r="AR202" s="10">
        <v>0</v>
      </c>
      <c r="AS202" s="10">
        <v>0</v>
      </c>
      <c r="AT202" s="10">
        <v>5</v>
      </c>
      <c r="AU202" s="10">
        <v>1</v>
      </c>
      <c r="AV202" s="10">
        <v>0</v>
      </c>
      <c r="AW202" s="10">
        <v>1</v>
      </c>
      <c r="AX202" s="10">
        <v>5</v>
      </c>
      <c r="AY202" s="10">
        <v>0</v>
      </c>
      <c r="AZ202" s="10">
        <v>3</v>
      </c>
      <c r="BA202" s="10">
        <v>3</v>
      </c>
      <c r="BB202" s="10">
        <v>2</v>
      </c>
      <c r="BC202" s="10">
        <v>43</v>
      </c>
      <c r="BD202" s="10">
        <v>3</v>
      </c>
      <c r="BE202" s="10">
        <v>1</v>
      </c>
      <c r="BF202" s="10">
        <v>3</v>
      </c>
      <c r="BG202" s="10">
        <v>4</v>
      </c>
      <c r="BH202" s="10">
        <v>0</v>
      </c>
      <c r="BI202" s="10">
        <v>0</v>
      </c>
      <c r="BJ202" s="10">
        <v>2</v>
      </c>
      <c r="BK202" s="10">
        <v>0</v>
      </c>
      <c r="BL202" s="10">
        <v>0</v>
      </c>
      <c r="BM202" s="10">
        <v>0</v>
      </c>
      <c r="BN202" s="10">
        <v>0</v>
      </c>
      <c r="BO202" s="10">
        <v>0</v>
      </c>
      <c r="BP202" s="10">
        <v>0</v>
      </c>
      <c r="BQ202" s="10">
        <v>0</v>
      </c>
      <c r="BR202" s="10">
        <v>0</v>
      </c>
      <c r="BS202" s="10">
        <v>13</v>
      </c>
    </row>
    <row r="203" spans="1:71" x14ac:dyDescent="0.55000000000000004">
      <c r="A203" s="10">
        <v>264</v>
      </c>
      <c r="B203" s="10">
        <v>2022</v>
      </c>
      <c r="C203" s="10">
        <v>6392</v>
      </c>
      <c r="D203" s="10">
        <v>40344</v>
      </c>
      <c r="E203" s="10">
        <v>25683</v>
      </c>
      <c r="F203" s="10">
        <v>5758</v>
      </c>
      <c r="G203" s="10">
        <v>6984</v>
      </c>
      <c r="H203" s="10">
        <v>3071</v>
      </c>
      <c r="I203" s="10">
        <v>8291</v>
      </c>
      <c r="J203" s="10">
        <v>0</v>
      </c>
      <c r="K203" s="10">
        <v>0</v>
      </c>
      <c r="L203" s="10">
        <v>4163</v>
      </c>
      <c r="M203" s="10">
        <v>4089</v>
      </c>
      <c r="N203" s="10">
        <v>2897</v>
      </c>
      <c r="O203" s="10">
        <v>4188</v>
      </c>
      <c r="P203" s="10">
        <v>14457</v>
      </c>
      <c r="Q203" s="10">
        <v>2118</v>
      </c>
      <c r="R203" s="10">
        <v>2159</v>
      </c>
      <c r="S203" s="10">
        <v>84910</v>
      </c>
      <c r="T203" s="10">
        <v>45684</v>
      </c>
      <c r="U203" s="10">
        <v>21.265644555694617</v>
      </c>
      <c r="V203" s="10">
        <v>21.754585564148325</v>
      </c>
      <c r="W203" s="10">
        <v>0</v>
      </c>
      <c r="X203" s="10">
        <v>11.186232137990109</v>
      </c>
      <c r="Y203" s="10">
        <v>41.780131990274398</v>
      </c>
      <c r="Z203" s="10">
        <v>19.215635738831615</v>
      </c>
      <c r="AA203" s="10">
        <v>17.914360143275808</v>
      </c>
      <c r="AB203" s="10">
        <v>30.76745869014594</v>
      </c>
      <c r="AC203" s="10">
        <v>0</v>
      </c>
      <c r="AD203" s="10">
        <v>0</v>
      </c>
      <c r="AE203" s="10">
        <v>26.408839779005522</v>
      </c>
      <c r="AF203" s="10">
        <v>45.853998532648568</v>
      </c>
      <c r="AG203" s="10">
        <v>18.817052122885745</v>
      </c>
      <c r="AH203" s="10">
        <v>23.144460362941739</v>
      </c>
      <c r="AI203" s="10">
        <v>37.764404786608566</v>
      </c>
      <c r="AJ203" s="10">
        <v>62</v>
      </c>
      <c r="AK203" s="10">
        <v>28.944287063267232</v>
      </c>
      <c r="AL203" s="10">
        <v>22.081519221861971</v>
      </c>
      <c r="AM203" s="10">
        <v>0</v>
      </c>
      <c r="AN203" s="10">
        <v>3</v>
      </c>
      <c r="AO203" s="10">
        <v>2</v>
      </c>
      <c r="AP203" s="10">
        <v>12</v>
      </c>
      <c r="AQ203" s="10">
        <v>7</v>
      </c>
      <c r="AR203" s="10">
        <v>4</v>
      </c>
      <c r="AS203" s="10">
        <v>1</v>
      </c>
      <c r="AT203" s="10">
        <v>4</v>
      </c>
      <c r="AU203" s="10">
        <v>2</v>
      </c>
      <c r="AV203" s="10">
        <v>0</v>
      </c>
      <c r="AW203" s="10">
        <v>2</v>
      </c>
      <c r="AX203" s="10">
        <v>3</v>
      </c>
      <c r="AY203" s="10">
        <v>0</v>
      </c>
      <c r="AZ203" s="10">
        <v>4</v>
      </c>
      <c r="BA203" s="10">
        <v>1</v>
      </c>
      <c r="BB203" s="10">
        <v>0</v>
      </c>
      <c r="BC203" s="10">
        <v>45</v>
      </c>
      <c r="BD203" s="10">
        <v>1</v>
      </c>
      <c r="BE203" s="10">
        <v>0</v>
      </c>
      <c r="BF203" s="10">
        <v>9</v>
      </c>
      <c r="BG203" s="10">
        <v>12</v>
      </c>
      <c r="BH203" s="10">
        <v>1</v>
      </c>
      <c r="BI203" s="10">
        <v>1</v>
      </c>
      <c r="BJ203" s="10">
        <v>2</v>
      </c>
      <c r="BK203" s="10">
        <v>3</v>
      </c>
      <c r="BL203" s="10">
        <v>0</v>
      </c>
      <c r="BM203" s="10">
        <v>0</v>
      </c>
      <c r="BN203" s="10">
        <v>0</v>
      </c>
      <c r="BO203" s="10">
        <v>1</v>
      </c>
      <c r="BP203" s="10">
        <v>0</v>
      </c>
      <c r="BQ203" s="10">
        <v>0</v>
      </c>
      <c r="BR203" s="10">
        <v>0</v>
      </c>
      <c r="BS203" s="10">
        <v>30</v>
      </c>
    </row>
    <row r="204" spans="1:71" x14ac:dyDescent="0.55000000000000004">
      <c r="A204" s="10">
        <v>496</v>
      </c>
      <c r="B204" s="10">
        <v>2022</v>
      </c>
      <c r="C204" s="10">
        <v>12733</v>
      </c>
      <c r="D204" s="10">
        <v>40377</v>
      </c>
      <c r="E204" s="10">
        <v>25954</v>
      </c>
      <c r="F204" s="10">
        <v>21018</v>
      </c>
      <c r="G204" s="10">
        <v>7434</v>
      </c>
      <c r="H204" s="10">
        <v>1872</v>
      </c>
      <c r="I204" s="10">
        <v>20623</v>
      </c>
      <c r="J204" s="10">
        <v>0</v>
      </c>
      <c r="K204" s="10">
        <v>0</v>
      </c>
      <c r="L204" s="10">
        <v>7466</v>
      </c>
      <c r="M204" s="10">
        <v>4555</v>
      </c>
      <c r="N204" s="10">
        <v>0</v>
      </c>
      <c r="O204" s="10">
        <v>8549</v>
      </c>
      <c r="P204" s="10">
        <v>12343</v>
      </c>
      <c r="Q204" s="10">
        <v>4297</v>
      </c>
      <c r="R204" s="10">
        <v>13380</v>
      </c>
      <c r="S204" s="10">
        <v>115774</v>
      </c>
      <c r="T204" s="10">
        <v>64827</v>
      </c>
      <c r="U204" s="10">
        <v>20.175056938663317</v>
      </c>
      <c r="V204" s="10">
        <v>22.6741214057508</v>
      </c>
      <c r="W204" s="10">
        <v>34.103384330088083</v>
      </c>
      <c r="X204" s="10">
        <v>15.009170070124066</v>
      </c>
      <c r="Y204" s="10">
        <v>32.641735655152729</v>
      </c>
      <c r="Z204" s="10">
        <v>19.227333871401669</v>
      </c>
      <c r="AA204" s="10">
        <v>16.493589743589745</v>
      </c>
      <c r="AB204" s="10">
        <v>28.017504727731176</v>
      </c>
      <c r="AC204" s="10">
        <v>0</v>
      </c>
      <c r="AD204" s="10">
        <v>0</v>
      </c>
      <c r="AE204" s="10">
        <v>22.144521832306456</v>
      </c>
      <c r="AF204" s="10">
        <v>45.019758507135016</v>
      </c>
      <c r="AG204" s="10">
        <v>0</v>
      </c>
      <c r="AH204" s="10">
        <v>23.30541583810972</v>
      </c>
      <c r="AI204" s="10">
        <v>40.918496313700075</v>
      </c>
      <c r="AJ204" s="10">
        <v>0</v>
      </c>
      <c r="AK204" s="10">
        <v>31.321619734698626</v>
      </c>
      <c r="AL204" s="10">
        <v>25.44304932735426</v>
      </c>
      <c r="AM204" s="10">
        <v>0</v>
      </c>
      <c r="AN204" s="10">
        <v>5</v>
      </c>
      <c r="AO204" s="10">
        <v>10</v>
      </c>
      <c r="AP204" s="10">
        <v>9</v>
      </c>
      <c r="AQ204" s="10">
        <v>6</v>
      </c>
      <c r="AR204" s="10">
        <v>4</v>
      </c>
      <c r="AS204" s="10">
        <v>1</v>
      </c>
      <c r="AT204" s="10">
        <v>8</v>
      </c>
      <c r="AU204" s="10">
        <v>3</v>
      </c>
      <c r="AV204" s="10">
        <v>0</v>
      </c>
      <c r="AW204" s="10">
        <v>4</v>
      </c>
      <c r="AX204" s="10">
        <v>1</v>
      </c>
      <c r="AY204" s="10">
        <v>0</v>
      </c>
      <c r="AZ204" s="10">
        <v>3</v>
      </c>
      <c r="BA204" s="10">
        <v>2</v>
      </c>
      <c r="BB204" s="10">
        <v>7</v>
      </c>
      <c r="BC204" s="10">
        <v>63</v>
      </c>
      <c r="BD204" s="10">
        <v>0</v>
      </c>
      <c r="BE204" s="10">
        <v>1</v>
      </c>
      <c r="BF204" s="10">
        <v>10</v>
      </c>
      <c r="BG204" s="10">
        <v>11</v>
      </c>
      <c r="BH204" s="10">
        <v>0</v>
      </c>
      <c r="BI204" s="10">
        <v>1</v>
      </c>
      <c r="BJ204" s="10">
        <v>0</v>
      </c>
      <c r="BK204" s="10">
        <v>0</v>
      </c>
      <c r="BL204" s="10">
        <v>0</v>
      </c>
      <c r="BM204" s="10">
        <v>0</v>
      </c>
      <c r="BN204" s="10">
        <v>0</v>
      </c>
      <c r="BO204" s="10">
        <v>0</v>
      </c>
      <c r="BP204" s="10">
        <v>1</v>
      </c>
      <c r="BQ204" s="10">
        <v>0</v>
      </c>
      <c r="BR204" s="10">
        <v>5</v>
      </c>
      <c r="BS204" s="10">
        <v>29</v>
      </c>
    </row>
    <row r="205" spans="1:71" x14ac:dyDescent="0.55000000000000004">
      <c r="A205" s="10">
        <v>449</v>
      </c>
      <c r="B205" s="10">
        <v>2022</v>
      </c>
      <c r="C205" s="10">
        <v>3601</v>
      </c>
      <c r="D205" s="10">
        <v>40543</v>
      </c>
      <c r="E205" s="10">
        <v>14613</v>
      </c>
      <c r="F205" s="10">
        <v>6707</v>
      </c>
      <c r="G205" s="10">
        <v>0</v>
      </c>
      <c r="H205" s="10">
        <v>0</v>
      </c>
      <c r="I205" s="10">
        <v>11282</v>
      </c>
      <c r="J205" s="10">
        <v>600</v>
      </c>
      <c r="K205" s="10">
        <v>0</v>
      </c>
      <c r="L205" s="10">
        <v>1670</v>
      </c>
      <c r="M205" s="10">
        <v>6840</v>
      </c>
      <c r="N205" s="10">
        <v>0</v>
      </c>
      <c r="O205" s="10">
        <v>1053</v>
      </c>
      <c r="P205" s="10">
        <v>5129</v>
      </c>
      <c r="Q205" s="10">
        <v>2293</v>
      </c>
      <c r="R205" s="10">
        <v>3600</v>
      </c>
      <c r="S205" s="10">
        <v>75558</v>
      </c>
      <c r="T205" s="10">
        <v>22373</v>
      </c>
      <c r="U205" s="10">
        <v>23.161344071091364</v>
      </c>
      <c r="V205" s="10">
        <v>27.77199516562662</v>
      </c>
      <c r="W205" s="10">
        <v>32.788215406906545</v>
      </c>
      <c r="X205" s="10">
        <v>20.321357695202902</v>
      </c>
      <c r="Y205" s="10">
        <v>31.400178917548828</v>
      </c>
      <c r="Z205" s="10">
        <v>0</v>
      </c>
      <c r="AA205" s="10">
        <v>0</v>
      </c>
      <c r="AB205" s="10">
        <v>33.920492820421913</v>
      </c>
      <c r="AC205" s="10">
        <v>49.830573248407646</v>
      </c>
      <c r="AD205" s="10">
        <v>0</v>
      </c>
      <c r="AE205" s="10">
        <v>30.444910179640718</v>
      </c>
      <c r="AF205" s="10">
        <v>49.065497076023391</v>
      </c>
      <c r="AG205" s="10">
        <v>0</v>
      </c>
      <c r="AH205" s="10">
        <v>28.883190883190881</v>
      </c>
      <c r="AI205" s="10">
        <v>40.102554104113864</v>
      </c>
      <c r="AJ205" s="10">
        <v>60.752162242767675</v>
      </c>
      <c r="AK205" s="10">
        <v>29.468818142171827</v>
      </c>
      <c r="AL205" s="10">
        <v>27.7</v>
      </c>
      <c r="AM205" s="10">
        <v>33.893081761006286</v>
      </c>
      <c r="AN205" s="10">
        <v>2</v>
      </c>
      <c r="AO205" s="10">
        <v>3</v>
      </c>
      <c r="AP205" s="10">
        <v>10</v>
      </c>
      <c r="AQ205" s="10">
        <v>4</v>
      </c>
      <c r="AR205" s="10">
        <v>0</v>
      </c>
      <c r="AS205" s="10">
        <v>0</v>
      </c>
      <c r="AT205" s="10">
        <v>3</v>
      </c>
      <c r="AU205" s="10">
        <v>1</v>
      </c>
      <c r="AV205" s="10">
        <v>0</v>
      </c>
      <c r="AW205" s="10">
        <v>1</v>
      </c>
      <c r="AX205" s="10">
        <v>2</v>
      </c>
      <c r="AY205" s="10">
        <v>0</v>
      </c>
      <c r="AZ205" s="10">
        <v>0</v>
      </c>
      <c r="BA205" s="10">
        <v>1</v>
      </c>
      <c r="BB205" s="10">
        <v>0</v>
      </c>
      <c r="BC205" s="10">
        <v>27</v>
      </c>
      <c r="BD205" s="10">
        <v>0</v>
      </c>
      <c r="BE205" s="10">
        <v>0</v>
      </c>
      <c r="BF205" s="10">
        <v>5</v>
      </c>
      <c r="BG205" s="10">
        <v>3</v>
      </c>
      <c r="BH205" s="10">
        <v>0</v>
      </c>
      <c r="BI205" s="10">
        <v>0</v>
      </c>
      <c r="BJ205" s="10">
        <v>2</v>
      </c>
      <c r="BK205" s="10">
        <v>1</v>
      </c>
      <c r="BL205" s="10">
        <v>0</v>
      </c>
      <c r="BM205" s="10">
        <v>0</v>
      </c>
      <c r="BN205" s="10">
        <v>0</v>
      </c>
      <c r="BO205" s="10">
        <v>0</v>
      </c>
      <c r="BP205" s="10">
        <v>1</v>
      </c>
      <c r="BQ205" s="10">
        <v>0</v>
      </c>
      <c r="BR205" s="10">
        <v>1</v>
      </c>
      <c r="BS205" s="10">
        <v>13</v>
      </c>
    </row>
    <row r="206" spans="1:71" x14ac:dyDescent="0.55000000000000004">
      <c r="A206" s="10">
        <v>837</v>
      </c>
      <c r="B206" s="10">
        <v>2022</v>
      </c>
      <c r="C206" s="10">
        <v>5745</v>
      </c>
      <c r="D206" s="10">
        <v>40578</v>
      </c>
      <c r="E206" s="10">
        <v>21998</v>
      </c>
      <c r="F206" s="10">
        <v>7650</v>
      </c>
      <c r="G206" s="10">
        <v>14485</v>
      </c>
      <c r="H206" s="10">
        <v>4666</v>
      </c>
      <c r="I206" s="10">
        <v>9007</v>
      </c>
      <c r="J206" s="10">
        <v>406</v>
      </c>
      <c r="K206" s="10">
        <v>0</v>
      </c>
      <c r="L206" s="10">
        <v>2055</v>
      </c>
      <c r="M206" s="10">
        <v>8116</v>
      </c>
      <c r="N206" s="10">
        <v>690</v>
      </c>
      <c r="O206" s="10">
        <v>842</v>
      </c>
      <c r="P206" s="10">
        <v>11655</v>
      </c>
      <c r="Q206" s="10">
        <v>3328</v>
      </c>
      <c r="R206" s="10">
        <v>18454</v>
      </c>
      <c r="S206" s="10">
        <v>100034</v>
      </c>
      <c r="T206" s="10">
        <v>49641</v>
      </c>
      <c r="U206" s="10">
        <v>30.635509138381199</v>
      </c>
      <c r="V206" s="10">
        <v>24.850485484745427</v>
      </c>
      <c r="W206" s="10">
        <v>0</v>
      </c>
      <c r="X206" s="10">
        <v>18.67801618328939</v>
      </c>
      <c r="Y206" s="10">
        <v>49.838823529411762</v>
      </c>
      <c r="Z206" s="10">
        <v>18.906523990334829</v>
      </c>
      <c r="AA206" s="10">
        <v>18.56986712387484</v>
      </c>
      <c r="AB206" s="10">
        <v>34.839791273453983</v>
      </c>
      <c r="AC206" s="10">
        <v>0</v>
      </c>
      <c r="AD206" s="10">
        <v>0</v>
      </c>
      <c r="AE206" s="10">
        <v>22.546472019464719</v>
      </c>
      <c r="AF206" s="10">
        <v>39.720182355840315</v>
      </c>
      <c r="AG206" s="10">
        <v>34.721739130434784</v>
      </c>
      <c r="AH206" s="10">
        <v>42.241092636579573</v>
      </c>
      <c r="AI206" s="10">
        <v>44.386958386958391</v>
      </c>
      <c r="AJ206" s="10">
        <v>0</v>
      </c>
      <c r="AK206" s="10">
        <v>22.72265625</v>
      </c>
      <c r="AL206" s="10">
        <v>28.281781727538746</v>
      </c>
      <c r="AM206" s="10">
        <v>0</v>
      </c>
      <c r="AN206" s="10">
        <v>2</v>
      </c>
      <c r="AO206" s="10">
        <v>5</v>
      </c>
      <c r="AP206" s="10">
        <v>18</v>
      </c>
      <c r="AQ206" s="10">
        <v>25</v>
      </c>
      <c r="AR206" s="10">
        <v>6</v>
      </c>
      <c r="AS206" s="10">
        <v>0</v>
      </c>
      <c r="AT206" s="10">
        <v>5</v>
      </c>
      <c r="AU206" s="10">
        <v>0</v>
      </c>
      <c r="AV206" s="10">
        <v>0</v>
      </c>
      <c r="AW206" s="10">
        <v>1</v>
      </c>
      <c r="AX206" s="10">
        <v>7</v>
      </c>
      <c r="AY206" s="10">
        <v>2</v>
      </c>
      <c r="AZ206" s="10">
        <v>4</v>
      </c>
      <c r="BA206" s="10">
        <v>2</v>
      </c>
      <c r="BB206" s="10">
        <v>8</v>
      </c>
      <c r="BC206" s="10">
        <v>85</v>
      </c>
      <c r="BD206" s="10">
        <v>0</v>
      </c>
      <c r="BE206" s="10">
        <v>7</v>
      </c>
      <c r="BF206" s="10">
        <v>7</v>
      </c>
      <c r="BG206" s="10">
        <v>26</v>
      </c>
      <c r="BH206" s="10">
        <v>2</v>
      </c>
      <c r="BI206" s="10">
        <v>0</v>
      </c>
      <c r="BJ206" s="10">
        <v>1</v>
      </c>
      <c r="BK206" s="10">
        <v>0</v>
      </c>
      <c r="BL206" s="10">
        <v>0</v>
      </c>
      <c r="BM206" s="10">
        <v>0</v>
      </c>
      <c r="BN206" s="10">
        <v>2</v>
      </c>
      <c r="BO206" s="10">
        <v>0</v>
      </c>
      <c r="BP206" s="10">
        <v>4</v>
      </c>
      <c r="BQ206" s="10">
        <v>0</v>
      </c>
      <c r="BR206" s="10">
        <v>2</v>
      </c>
      <c r="BS206" s="10">
        <v>51</v>
      </c>
    </row>
    <row r="207" spans="1:71" x14ac:dyDescent="0.55000000000000004">
      <c r="A207" s="10">
        <v>314</v>
      </c>
      <c r="B207" s="10">
        <v>2022</v>
      </c>
      <c r="C207" s="10">
        <v>6206</v>
      </c>
      <c r="D207" s="10">
        <v>40599</v>
      </c>
      <c r="E207" s="10">
        <v>19117</v>
      </c>
      <c r="F207" s="10">
        <v>8369</v>
      </c>
      <c r="G207" s="10">
        <v>7152</v>
      </c>
      <c r="H207" s="10">
        <v>2789</v>
      </c>
      <c r="I207" s="10">
        <v>4122</v>
      </c>
      <c r="J207" s="10">
        <v>0</v>
      </c>
      <c r="K207" s="10">
        <v>0</v>
      </c>
      <c r="L207" s="10">
        <v>3342</v>
      </c>
      <c r="M207" s="10">
        <v>7027</v>
      </c>
      <c r="N207" s="10">
        <v>0</v>
      </c>
      <c r="O207" s="10">
        <v>4612</v>
      </c>
      <c r="P207" s="10">
        <v>6207</v>
      </c>
      <c r="Q207" s="10">
        <v>1868</v>
      </c>
      <c r="R207" s="10">
        <v>10409</v>
      </c>
      <c r="S207" s="10">
        <v>79780</v>
      </c>
      <c r="T207" s="10">
        <v>42039</v>
      </c>
      <c r="U207" s="10">
        <v>19.272961650016114</v>
      </c>
      <c r="V207" s="10">
        <v>22.635557526047439</v>
      </c>
      <c r="W207" s="10">
        <v>40.586079229914844</v>
      </c>
      <c r="X207" s="10">
        <v>17.594340116127007</v>
      </c>
      <c r="Y207" s="10">
        <v>38.874895447484761</v>
      </c>
      <c r="Z207" s="10">
        <v>13.730425055928411</v>
      </c>
      <c r="AA207" s="10">
        <v>16.529221943348869</v>
      </c>
      <c r="AB207" s="10">
        <v>28.40538573508006</v>
      </c>
      <c r="AC207" s="10">
        <v>56.065529010238905</v>
      </c>
      <c r="AD207" s="10">
        <v>0</v>
      </c>
      <c r="AE207" s="10">
        <v>0</v>
      </c>
      <c r="AF207" s="10">
        <v>39.342251316351216</v>
      </c>
      <c r="AG207" s="10">
        <v>0</v>
      </c>
      <c r="AH207" s="10">
        <v>25.585862966175196</v>
      </c>
      <c r="AI207" s="10">
        <v>37.257612373127117</v>
      </c>
      <c r="AJ207" s="10">
        <v>58.515151515151516</v>
      </c>
      <c r="AK207" s="10">
        <v>28.440578158458241</v>
      </c>
      <c r="AL207" s="10">
        <v>24.304544144490347</v>
      </c>
      <c r="AM207" s="10">
        <v>0</v>
      </c>
      <c r="AN207" s="10">
        <v>2</v>
      </c>
      <c r="AO207" s="10">
        <v>4</v>
      </c>
      <c r="AP207" s="10">
        <v>13</v>
      </c>
      <c r="AQ207" s="10">
        <v>6</v>
      </c>
      <c r="AR207" s="10">
        <v>1</v>
      </c>
      <c r="AS207" s="10">
        <v>1</v>
      </c>
      <c r="AT207" s="10">
        <v>4</v>
      </c>
      <c r="AU207" s="10">
        <v>2</v>
      </c>
      <c r="AV207" s="10">
        <v>0</v>
      </c>
      <c r="AW207" s="10">
        <v>2</v>
      </c>
      <c r="AX207" s="10">
        <v>3</v>
      </c>
      <c r="AY207" s="10">
        <v>0</v>
      </c>
      <c r="AZ207" s="10">
        <v>1</v>
      </c>
      <c r="BA207" s="10">
        <v>1</v>
      </c>
      <c r="BB207" s="10">
        <v>6</v>
      </c>
      <c r="BC207" s="10">
        <v>46</v>
      </c>
      <c r="BD207" s="10">
        <v>3</v>
      </c>
      <c r="BE207" s="10">
        <v>0</v>
      </c>
      <c r="BF207" s="10">
        <v>10</v>
      </c>
      <c r="BG207" s="10">
        <v>11</v>
      </c>
      <c r="BH207" s="10">
        <v>5</v>
      </c>
      <c r="BI207" s="10">
        <v>1</v>
      </c>
      <c r="BJ207" s="10">
        <v>1</v>
      </c>
      <c r="BK207" s="10">
        <v>0</v>
      </c>
      <c r="BL207" s="10">
        <v>0</v>
      </c>
      <c r="BM207" s="10">
        <v>0</v>
      </c>
      <c r="BN207" s="10">
        <v>0</v>
      </c>
      <c r="BO207" s="10">
        <v>0</v>
      </c>
      <c r="BP207" s="10">
        <v>1</v>
      </c>
      <c r="BQ207" s="10">
        <v>0</v>
      </c>
      <c r="BR207" s="10">
        <v>2</v>
      </c>
      <c r="BS207" s="10">
        <v>34</v>
      </c>
    </row>
    <row r="208" spans="1:71" x14ac:dyDescent="0.55000000000000004">
      <c r="A208" s="10">
        <v>336</v>
      </c>
      <c r="B208" s="10">
        <v>2022</v>
      </c>
      <c r="C208" s="10">
        <v>4282</v>
      </c>
      <c r="D208" s="10">
        <v>40788</v>
      </c>
      <c r="E208" s="10">
        <v>309</v>
      </c>
      <c r="F208" s="10">
        <v>0</v>
      </c>
      <c r="G208" s="10">
        <v>0</v>
      </c>
      <c r="H208" s="10">
        <v>0</v>
      </c>
      <c r="I208" s="10">
        <v>8717</v>
      </c>
      <c r="J208" s="10">
        <v>0</v>
      </c>
      <c r="K208" s="10">
        <v>0</v>
      </c>
      <c r="L208" s="10">
        <v>3493</v>
      </c>
      <c r="M208" s="10">
        <v>2316</v>
      </c>
      <c r="N208" s="10">
        <v>0</v>
      </c>
      <c r="O208" s="10">
        <v>0</v>
      </c>
      <c r="P208" s="10">
        <v>9788</v>
      </c>
      <c r="Q208" s="10">
        <v>1767</v>
      </c>
      <c r="R208" s="10">
        <v>5866</v>
      </c>
      <c r="S208" s="10">
        <v>77017</v>
      </c>
      <c r="T208" s="10">
        <v>309</v>
      </c>
      <c r="U208" s="10">
        <v>21.640121438580103</v>
      </c>
      <c r="V208" s="10">
        <v>26.706727468863392</v>
      </c>
      <c r="W208" s="10">
        <v>0</v>
      </c>
      <c r="X208" s="10">
        <v>38.847896440129453</v>
      </c>
      <c r="Y208" s="10">
        <v>0</v>
      </c>
      <c r="Z208" s="10">
        <v>0</v>
      </c>
      <c r="AA208" s="10">
        <v>0</v>
      </c>
      <c r="AB208" s="10">
        <v>37.418607319031779</v>
      </c>
      <c r="AC208" s="10">
        <v>0</v>
      </c>
      <c r="AD208" s="10">
        <v>0</v>
      </c>
      <c r="AE208" s="10">
        <v>31.570855997709707</v>
      </c>
      <c r="AF208" s="10">
        <v>59.19905008635579</v>
      </c>
      <c r="AG208" s="10">
        <v>0</v>
      </c>
      <c r="AH208" s="10">
        <v>0</v>
      </c>
      <c r="AI208" s="10">
        <v>43.936963628933391</v>
      </c>
      <c r="AJ208" s="10">
        <v>62.357142857142854</v>
      </c>
      <c r="AK208" s="10">
        <v>31.632710809281271</v>
      </c>
      <c r="AL208" s="10">
        <v>27.329355608591886</v>
      </c>
      <c r="AM208" s="10">
        <v>0</v>
      </c>
      <c r="AN208" s="10">
        <v>1</v>
      </c>
      <c r="AO208" s="10">
        <v>0</v>
      </c>
      <c r="AP208" s="10">
        <v>14</v>
      </c>
      <c r="AQ208" s="10">
        <v>0</v>
      </c>
      <c r="AR208" s="10">
        <v>0</v>
      </c>
      <c r="AS208" s="10">
        <v>0</v>
      </c>
      <c r="AT208" s="10">
        <v>3</v>
      </c>
      <c r="AU208" s="10">
        <v>0</v>
      </c>
      <c r="AV208" s="10">
        <v>0</v>
      </c>
      <c r="AW208" s="10">
        <v>1</v>
      </c>
      <c r="AX208" s="10">
        <v>1</v>
      </c>
      <c r="AY208" s="10">
        <v>0</v>
      </c>
      <c r="AZ208" s="10">
        <v>6</v>
      </c>
      <c r="BA208" s="10">
        <v>1</v>
      </c>
      <c r="BB208" s="10">
        <v>3</v>
      </c>
      <c r="BC208" s="10">
        <v>30</v>
      </c>
      <c r="BD208" s="10">
        <v>2</v>
      </c>
      <c r="BE208" s="10">
        <v>0</v>
      </c>
      <c r="BF208" s="10">
        <v>6</v>
      </c>
      <c r="BG208" s="10">
        <v>0</v>
      </c>
      <c r="BH208" s="10">
        <v>0</v>
      </c>
      <c r="BI208" s="10">
        <v>0</v>
      </c>
      <c r="BJ208" s="10">
        <v>0</v>
      </c>
      <c r="BK208" s="10">
        <v>0</v>
      </c>
      <c r="BL208" s="10">
        <v>0</v>
      </c>
      <c r="BM208" s="10">
        <v>0</v>
      </c>
      <c r="BN208" s="10">
        <v>0</v>
      </c>
      <c r="BO208" s="10">
        <v>0</v>
      </c>
      <c r="BP208" s="10">
        <v>1</v>
      </c>
      <c r="BQ208" s="10">
        <v>0</v>
      </c>
      <c r="BR208" s="10">
        <v>0</v>
      </c>
      <c r="BS208" s="10">
        <v>9</v>
      </c>
    </row>
    <row r="209" spans="1:71" x14ac:dyDescent="0.55000000000000004">
      <c r="A209" s="10">
        <v>550</v>
      </c>
      <c r="B209" s="10">
        <v>2022</v>
      </c>
      <c r="C209" s="10">
        <v>7310</v>
      </c>
      <c r="D209" s="10">
        <v>40840</v>
      </c>
      <c r="E209" s="10">
        <v>20425</v>
      </c>
      <c r="F209" s="10">
        <v>6735</v>
      </c>
      <c r="G209" s="10">
        <v>3972</v>
      </c>
      <c r="H209" s="10">
        <v>4074</v>
      </c>
      <c r="I209" s="10">
        <v>15374</v>
      </c>
      <c r="J209" s="10">
        <v>0</v>
      </c>
      <c r="K209" s="10">
        <v>0</v>
      </c>
      <c r="L209" s="10">
        <v>0</v>
      </c>
      <c r="M209" s="10">
        <v>6725</v>
      </c>
      <c r="N209" s="10">
        <v>0</v>
      </c>
      <c r="O209" s="10">
        <v>3317</v>
      </c>
      <c r="P209" s="10">
        <v>14067</v>
      </c>
      <c r="Q209" s="10">
        <v>2360</v>
      </c>
      <c r="R209" s="10">
        <v>0</v>
      </c>
      <c r="S209" s="10">
        <v>86676</v>
      </c>
      <c r="T209" s="10">
        <v>38523</v>
      </c>
      <c r="U209" s="10">
        <v>20.452120383036934</v>
      </c>
      <c r="V209" s="10">
        <v>25.966503428011752</v>
      </c>
      <c r="W209" s="10">
        <v>18.497963932518907</v>
      </c>
      <c r="X209" s="10">
        <v>20.804798041615669</v>
      </c>
      <c r="Y209" s="10">
        <v>35.620638455827766</v>
      </c>
      <c r="Z209" s="10">
        <v>16.701661631419938</v>
      </c>
      <c r="AA209" s="10">
        <v>17.950908198330879</v>
      </c>
      <c r="AB209" s="10">
        <v>33.264732665539221</v>
      </c>
      <c r="AC209" s="10">
        <v>50.731003039513674</v>
      </c>
      <c r="AD209" s="10">
        <v>0</v>
      </c>
      <c r="AE209" s="10">
        <v>0</v>
      </c>
      <c r="AF209" s="10">
        <v>31.649814126394048</v>
      </c>
      <c r="AG209" s="10">
        <v>0</v>
      </c>
      <c r="AH209" s="10">
        <v>22.328007235453722</v>
      </c>
      <c r="AI209" s="10">
        <v>41.618255491576029</v>
      </c>
      <c r="AJ209" s="10">
        <v>0</v>
      </c>
      <c r="AK209" s="10">
        <v>29.381355932203387</v>
      </c>
      <c r="AL209" s="10">
        <v>0</v>
      </c>
      <c r="AM209" s="10">
        <v>0</v>
      </c>
      <c r="AN209" s="10">
        <v>3</v>
      </c>
      <c r="AO209" s="10">
        <v>3</v>
      </c>
      <c r="AP209" s="10">
        <v>14</v>
      </c>
      <c r="AQ209" s="10">
        <v>6</v>
      </c>
      <c r="AR209" s="10">
        <v>3</v>
      </c>
      <c r="AS209" s="10">
        <v>2</v>
      </c>
      <c r="AT209" s="10">
        <v>2</v>
      </c>
      <c r="AU209" s="10">
        <v>2</v>
      </c>
      <c r="AV209" s="10">
        <v>0</v>
      </c>
      <c r="AW209" s="10">
        <v>0</v>
      </c>
      <c r="AX209" s="10">
        <v>1</v>
      </c>
      <c r="AY209" s="10">
        <v>0</v>
      </c>
      <c r="AZ209" s="10">
        <v>8</v>
      </c>
      <c r="BA209" s="10">
        <v>1</v>
      </c>
      <c r="BB209" s="10">
        <v>0</v>
      </c>
      <c r="BC209" s="10">
        <v>45</v>
      </c>
      <c r="BD209" s="10">
        <v>3</v>
      </c>
      <c r="BE209" s="10">
        <v>0</v>
      </c>
      <c r="BF209" s="10">
        <v>10</v>
      </c>
      <c r="BG209" s="10">
        <v>6</v>
      </c>
      <c r="BH209" s="10">
        <v>0</v>
      </c>
      <c r="BI209" s="10">
        <v>0</v>
      </c>
      <c r="BJ209" s="10">
        <v>9</v>
      </c>
      <c r="BK209" s="10">
        <v>0</v>
      </c>
      <c r="BL209" s="10">
        <v>0</v>
      </c>
      <c r="BM209" s="10">
        <v>1</v>
      </c>
      <c r="BN209" s="10">
        <v>0</v>
      </c>
      <c r="BO209" s="10">
        <v>0</v>
      </c>
      <c r="BP209" s="10">
        <v>1</v>
      </c>
      <c r="BQ209" s="10">
        <v>1</v>
      </c>
      <c r="BR209" s="10">
        <v>0</v>
      </c>
      <c r="BS209" s="10">
        <v>31</v>
      </c>
    </row>
    <row r="210" spans="1:71" x14ac:dyDescent="0.55000000000000004">
      <c r="A210" s="10">
        <v>411</v>
      </c>
      <c r="B210" s="10">
        <v>2022</v>
      </c>
      <c r="C210" s="10">
        <v>5902</v>
      </c>
      <c r="D210" s="10">
        <v>40875</v>
      </c>
      <c r="E210" s="10">
        <v>13859</v>
      </c>
      <c r="F210" s="10">
        <v>6017</v>
      </c>
      <c r="G210" s="10">
        <v>5609</v>
      </c>
      <c r="H210" s="10">
        <v>1893</v>
      </c>
      <c r="I210" s="10">
        <v>12960</v>
      </c>
      <c r="J210" s="10">
        <v>0</v>
      </c>
      <c r="K210" s="10">
        <v>0</v>
      </c>
      <c r="L210" s="10">
        <v>3385</v>
      </c>
      <c r="M210" s="10">
        <v>5947</v>
      </c>
      <c r="N210" s="10">
        <v>0</v>
      </c>
      <c r="O210" s="10">
        <v>7176</v>
      </c>
      <c r="P210" s="10">
        <v>7246</v>
      </c>
      <c r="Q210" s="10">
        <v>2391</v>
      </c>
      <c r="R210" s="10">
        <v>1406</v>
      </c>
      <c r="S210" s="10">
        <v>80112</v>
      </c>
      <c r="T210" s="10">
        <v>34554</v>
      </c>
      <c r="U210" s="10">
        <v>16.040494747543207</v>
      </c>
      <c r="V210" s="10">
        <v>20.574727828746177</v>
      </c>
      <c r="W210" s="10">
        <v>32.795307443365694</v>
      </c>
      <c r="X210" s="10">
        <v>16.485893643119994</v>
      </c>
      <c r="Y210" s="10">
        <v>30.245637360811035</v>
      </c>
      <c r="Z210" s="10">
        <v>14.730611517204492</v>
      </c>
      <c r="AA210" s="10">
        <v>16.332276809297412</v>
      </c>
      <c r="AB210" s="10">
        <v>29.927006172839505</v>
      </c>
      <c r="AC210" s="10">
        <v>0</v>
      </c>
      <c r="AD210" s="10">
        <v>0</v>
      </c>
      <c r="AE210" s="10">
        <v>20.855243722304284</v>
      </c>
      <c r="AF210" s="10">
        <v>36.67328064570372</v>
      </c>
      <c r="AG210" s="10">
        <v>0</v>
      </c>
      <c r="AH210" s="10">
        <v>17.393673355629875</v>
      </c>
      <c r="AI210" s="10">
        <v>37.342257797405466</v>
      </c>
      <c r="AJ210" s="10">
        <v>0</v>
      </c>
      <c r="AK210" s="10">
        <v>25.585110832287747</v>
      </c>
      <c r="AL210" s="10">
        <v>25.359886201991465</v>
      </c>
      <c r="AM210" s="10">
        <v>0</v>
      </c>
      <c r="AN210" s="10">
        <v>1</v>
      </c>
      <c r="AO210" s="10">
        <v>3</v>
      </c>
      <c r="AP210" s="10">
        <v>7</v>
      </c>
      <c r="AQ210" s="10">
        <v>4</v>
      </c>
      <c r="AR210" s="10">
        <v>0</v>
      </c>
      <c r="AS210" s="10">
        <v>0</v>
      </c>
      <c r="AT210" s="10">
        <v>2</v>
      </c>
      <c r="AU210" s="10">
        <v>4</v>
      </c>
      <c r="AV210" s="10">
        <v>0</v>
      </c>
      <c r="AW210" s="10">
        <v>2</v>
      </c>
      <c r="AX210" s="10">
        <v>2</v>
      </c>
      <c r="AY210" s="10">
        <v>0</v>
      </c>
      <c r="AZ210" s="10">
        <v>4</v>
      </c>
      <c r="BA210" s="10">
        <v>1</v>
      </c>
      <c r="BB210" s="10">
        <v>1</v>
      </c>
      <c r="BC210" s="10">
        <v>31</v>
      </c>
      <c r="BD210" s="10">
        <v>4</v>
      </c>
      <c r="BE210" s="10">
        <v>0</v>
      </c>
      <c r="BF210" s="10">
        <v>10</v>
      </c>
      <c r="BG210" s="10">
        <v>10</v>
      </c>
      <c r="BH210" s="10">
        <v>4</v>
      </c>
      <c r="BI210" s="10">
        <v>1</v>
      </c>
      <c r="BJ210" s="10">
        <v>6</v>
      </c>
      <c r="BK210" s="10">
        <v>1</v>
      </c>
      <c r="BL210" s="10">
        <v>0</v>
      </c>
      <c r="BM210" s="10">
        <v>0</v>
      </c>
      <c r="BN210" s="10">
        <v>0</v>
      </c>
      <c r="BO210" s="10">
        <v>0</v>
      </c>
      <c r="BP210" s="10">
        <v>0</v>
      </c>
      <c r="BQ210" s="10">
        <v>1</v>
      </c>
      <c r="BR210" s="10">
        <v>0</v>
      </c>
      <c r="BS210" s="10">
        <v>37</v>
      </c>
    </row>
    <row r="211" spans="1:71" x14ac:dyDescent="0.55000000000000004">
      <c r="A211" s="10">
        <v>206</v>
      </c>
      <c r="B211" s="10">
        <v>2022</v>
      </c>
      <c r="C211" s="10">
        <v>8466</v>
      </c>
      <c r="D211" s="10">
        <v>40934</v>
      </c>
      <c r="E211" s="10">
        <v>19094</v>
      </c>
      <c r="F211" s="10">
        <v>3511</v>
      </c>
      <c r="G211" s="10">
        <v>10026</v>
      </c>
      <c r="H211" s="10">
        <v>10504</v>
      </c>
      <c r="I211" s="10">
        <v>15163</v>
      </c>
      <c r="J211" s="10">
        <v>0</v>
      </c>
      <c r="K211" s="10">
        <v>0</v>
      </c>
      <c r="L211" s="10">
        <v>4213</v>
      </c>
      <c r="M211" s="10">
        <v>8558</v>
      </c>
      <c r="N211" s="10">
        <v>1269</v>
      </c>
      <c r="O211" s="10">
        <v>3827</v>
      </c>
      <c r="P211" s="10">
        <v>14082</v>
      </c>
      <c r="Q211" s="10">
        <v>6297</v>
      </c>
      <c r="R211" s="10">
        <v>4160</v>
      </c>
      <c r="S211" s="10">
        <v>103142</v>
      </c>
      <c r="T211" s="10">
        <v>46962</v>
      </c>
      <c r="U211" s="10">
        <v>16.600283486888731</v>
      </c>
      <c r="V211" s="10">
        <v>21.483510040553082</v>
      </c>
      <c r="W211" s="10">
        <v>34.485693589279244</v>
      </c>
      <c r="X211" s="10">
        <v>17.790457735414265</v>
      </c>
      <c r="Y211" s="10">
        <v>33.358872116206207</v>
      </c>
      <c r="Z211" s="10">
        <v>15.516856173947735</v>
      </c>
      <c r="AA211" s="10">
        <v>16.663842345773038</v>
      </c>
      <c r="AB211" s="10">
        <v>26.89751368462705</v>
      </c>
      <c r="AC211" s="10">
        <v>50.988904299583915</v>
      </c>
      <c r="AD211" s="10">
        <v>0</v>
      </c>
      <c r="AE211" s="10">
        <v>0</v>
      </c>
      <c r="AF211" s="10">
        <v>34.097569525590096</v>
      </c>
      <c r="AG211" s="10">
        <v>29.655634357762018</v>
      </c>
      <c r="AH211" s="10">
        <v>20.037104781813429</v>
      </c>
      <c r="AI211" s="10">
        <v>36.431543814799035</v>
      </c>
      <c r="AJ211" s="10">
        <v>61.358574610244993</v>
      </c>
      <c r="AK211" s="10">
        <v>28.861838970938543</v>
      </c>
      <c r="AL211" s="10">
        <v>27.934615384615388</v>
      </c>
      <c r="AM211" s="10">
        <v>0</v>
      </c>
      <c r="AN211" s="10">
        <v>3</v>
      </c>
      <c r="AO211" s="10">
        <v>0</v>
      </c>
      <c r="AP211" s="10">
        <v>12</v>
      </c>
      <c r="AQ211" s="10">
        <v>8</v>
      </c>
      <c r="AR211" s="10">
        <v>3</v>
      </c>
      <c r="AS211" s="10">
        <v>0</v>
      </c>
      <c r="AT211" s="10">
        <v>1</v>
      </c>
      <c r="AU211" s="10">
        <v>4</v>
      </c>
      <c r="AV211" s="10">
        <v>0</v>
      </c>
      <c r="AW211" s="10">
        <v>1</v>
      </c>
      <c r="AX211" s="10">
        <v>2</v>
      </c>
      <c r="AY211" s="10">
        <v>1</v>
      </c>
      <c r="AZ211" s="10">
        <v>3</v>
      </c>
      <c r="BA211" s="10">
        <v>2</v>
      </c>
      <c r="BB211" s="10">
        <v>1</v>
      </c>
      <c r="BC211" s="10">
        <v>41</v>
      </c>
      <c r="BD211" s="10">
        <v>1</v>
      </c>
      <c r="BE211" s="10">
        <v>0</v>
      </c>
      <c r="BF211" s="10">
        <v>12</v>
      </c>
      <c r="BG211" s="10">
        <v>7</v>
      </c>
      <c r="BH211" s="10">
        <v>0</v>
      </c>
      <c r="BI211" s="10">
        <v>0</v>
      </c>
      <c r="BJ211" s="10">
        <v>5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  <c r="BR211" s="10">
        <v>1</v>
      </c>
      <c r="BS211" s="10">
        <v>26</v>
      </c>
    </row>
    <row r="212" spans="1:71" x14ac:dyDescent="0.55000000000000004">
      <c r="A212" s="10">
        <v>205</v>
      </c>
      <c r="B212" s="10">
        <v>2022</v>
      </c>
      <c r="C212" s="10">
        <v>8905</v>
      </c>
      <c r="D212" s="10">
        <v>41094</v>
      </c>
      <c r="E212" s="10">
        <v>17143</v>
      </c>
      <c r="F212" s="10">
        <v>9920</v>
      </c>
      <c r="G212" s="10">
        <v>8933</v>
      </c>
      <c r="H212" s="10">
        <v>0</v>
      </c>
      <c r="I212" s="10">
        <v>5677</v>
      </c>
      <c r="J212" s="10">
        <v>0</v>
      </c>
      <c r="K212" s="10">
        <v>0</v>
      </c>
      <c r="L212" s="10">
        <v>3626</v>
      </c>
      <c r="M212" s="10">
        <v>1966</v>
      </c>
      <c r="N212" s="10">
        <v>0</v>
      </c>
      <c r="O212" s="10">
        <v>5004</v>
      </c>
      <c r="P212" s="10">
        <v>15342</v>
      </c>
      <c r="Q212" s="10">
        <v>2160</v>
      </c>
      <c r="R212" s="10">
        <v>0</v>
      </c>
      <c r="S212" s="10">
        <v>78770</v>
      </c>
      <c r="T212" s="10">
        <v>41000</v>
      </c>
      <c r="U212" s="10">
        <v>13.931723750701853</v>
      </c>
      <c r="V212" s="10">
        <v>17.897868301941887</v>
      </c>
      <c r="W212" s="10">
        <v>33.659902029391183</v>
      </c>
      <c r="X212" s="10">
        <v>19.182231814734877</v>
      </c>
      <c r="Y212" s="10">
        <v>37.847479838709674</v>
      </c>
      <c r="Z212" s="10">
        <v>17.512705697973804</v>
      </c>
      <c r="AA212" s="10">
        <v>0</v>
      </c>
      <c r="AB212" s="10">
        <v>32.71710410428043</v>
      </c>
      <c r="AC212" s="10">
        <v>47.803571428571431</v>
      </c>
      <c r="AD212" s="10">
        <v>0</v>
      </c>
      <c r="AE212" s="10">
        <v>17.444842801985658</v>
      </c>
      <c r="AF212" s="10">
        <v>39.652085452695822</v>
      </c>
      <c r="AG212" s="10">
        <v>0</v>
      </c>
      <c r="AH212" s="10">
        <v>22.633493205435652</v>
      </c>
      <c r="AI212" s="10">
        <v>38.48370486246904</v>
      </c>
      <c r="AJ212" s="10">
        <v>62.39473684210526</v>
      </c>
      <c r="AK212" s="10">
        <v>40.671759259259261</v>
      </c>
      <c r="AL212" s="10">
        <v>0</v>
      </c>
      <c r="AM212" s="10">
        <v>36.732142857142861</v>
      </c>
      <c r="AN212" s="10">
        <v>2</v>
      </c>
      <c r="AO212" s="10">
        <v>4</v>
      </c>
      <c r="AP212" s="10">
        <v>9</v>
      </c>
      <c r="AQ212" s="10">
        <v>6</v>
      </c>
      <c r="AR212" s="10">
        <v>3</v>
      </c>
      <c r="AS212" s="10">
        <v>0</v>
      </c>
      <c r="AT212" s="10">
        <v>2</v>
      </c>
      <c r="AU212" s="10">
        <v>1</v>
      </c>
      <c r="AV212" s="10">
        <v>0</v>
      </c>
      <c r="AW212" s="10">
        <v>1</v>
      </c>
      <c r="AX212" s="10">
        <v>1</v>
      </c>
      <c r="AY212" s="10">
        <v>0</v>
      </c>
      <c r="AZ212" s="10">
        <v>6</v>
      </c>
      <c r="BA212" s="10">
        <v>1</v>
      </c>
      <c r="BB212" s="10">
        <v>0</v>
      </c>
      <c r="BC212" s="10">
        <v>36</v>
      </c>
      <c r="BD212" s="10">
        <v>8</v>
      </c>
      <c r="BE212" s="10">
        <v>1</v>
      </c>
      <c r="BF212" s="10">
        <v>19</v>
      </c>
      <c r="BG212" s="10">
        <v>9</v>
      </c>
      <c r="BH212" s="10">
        <v>2</v>
      </c>
      <c r="BI212" s="10">
        <v>0</v>
      </c>
      <c r="BJ212" s="10">
        <v>4</v>
      </c>
      <c r="BK212" s="10">
        <v>2</v>
      </c>
      <c r="BL212" s="10">
        <v>0</v>
      </c>
      <c r="BM212" s="10">
        <v>0</v>
      </c>
      <c r="BN212" s="10">
        <v>0</v>
      </c>
      <c r="BO212" s="10">
        <v>0</v>
      </c>
      <c r="BP212" s="10">
        <v>5</v>
      </c>
      <c r="BQ212" s="10">
        <v>0</v>
      </c>
      <c r="BR212" s="10">
        <v>0</v>
      </c>
      <c r="BS212" s="10">
        <v>50</v>
      </c>
    </row>
    <row r="213" spans="1:71" x14ac:dyDescent="0.55000000000000004">
      <c r="A213" s="10">
        <v>950</v>
      </c>
      <c r="B213" s="10">
        <v>2022</v>
      </c>
      <c r="C213" s="10">
        <v>4878</v>
      </c>
      <c r="D213" s="10">
        <v>41369</v>
      </c>
      <c r="E213" s="10">
        <v>15044</v>
      </c>
      <c r="F213" s="10">
        <v>4318</v>
      </c>
      <c r="G213" s="10">
        <v>5096</v>
      </c>
      <c r="H213" s="10">
        <v>2918</v>
      </c>
      <c r="I213" s="10">
        <v>5623</v>
      </c>
      <c r="J213" s="10">
        <v>0</v>
      </c>
      <c r="K213" s="10">
        <v>0</v>
      </c>
      <c r="L213" s="10">
        <v>43</v>
      </c>
      <c r="M213" s="10">
        <v>2370</v>
      </c>
      <c r="N213" s="10">
        <v>0</v>
      </c>
      <c r="O213" s="10">
        <v>4504</v>
      </c>
      <c r="P213" s="10">
        <v>10563</v>
      </c>
      <c r="Q213" s="10">
        <v>2015</v>
      </c>
      <c r="R213" s="10">
        <v>4905</v>
      </c>
      <c r="S213" s="10">
        <v>71766</v>
      </c>
      <c r="T213" s="10">
        <v>31880</v>
      </c>
      <c r="U213" s="10">
        <v>18.405494054940547</v>
      </c>
      <c r="V213" s="10">
        <v>17.763083468297516</v>
      </c>
      <c r="W213" s="10">
        <v>58.230956239870345</v>
      </c>
      <c r="X213" s="10">
        <v>14.534299388460516</v>
      </c>
      <c r="Y213" s="10">
        <v>42.412691060676238</v>
      </c>
      <c r="Z213" s="10">
        <v>16.035910518053374</v>
      </c>
      <c r="AA213" s="10">
        <v>16.028786840301578</v>
      </c>
      <c r="AB213" s="10">
        <v>27.186910901653921</v>
      </c>
      <c r="AC213" s="10">
        <v>74.699101211410706</v>
      </c>
      <c r="AD213" s="10">
        <v>0</v>
      </c>
      <c r="AE213" s="10">
        <v>13.069767441860463</v>
      </c>
      <c r="AF213" s="10">
        <v>50.59113924050633</v>
      </c>
      <c r="AG213" s="10">
        <v>0</v>
      </c>
      <c r="AH213" s="10">
        <v>18.109902309058615</v>
      </c>
      <c r="AI213" s="10">
        <v>35.250686358042223</v>
      </c>
      <c r="AJ213" s="10">
        <v>0</v>
      </c>
      <c r="AK213" s="10">
        <v>27.779652605459059</v>
      </c>
      <c r="AL213" s="10">
        <v>20.493781855249747</v>
      </c>
      <c r="AM213" s="10">
        <v>0</v>
      </c>
      <c r="AN213" s="10">
        <v>2</v>
      </c>
      <c r="AO213" s="10">
        <v>3</v>
      </c>
      <c r="AP213" s="10">
        <v>13</v>
      </c>
      <c r="AQ213" s="10">
        <v>3</v>
      </c>
      <c r="AR213" s="10">
        <v>2</v>
      </c>
      <c r="AS213" s="10">
        <v>1</v>
      </c>
      <c r="AT213" s="10">
        <v>3</v>
      </c>
      <c r="AU213" s="10">
        <v>2</v>
      </c>
      <c r="AV213" s="10">
        <v>0</v>
      </c>
      <c r="AW213" s="10">
        <v>0</v>
      </c>
      <c r="AX213" s="10">
        <v>1</v>
      </c>
      <c r="AY213" s="10">
        <v>0</v>
      </c>
      <c r="AZ213" s="10">
        <v>4</v>
      </c>
      <c r="BA213" s="10">
        <v>1</v>
      </c>
      <c r="BB213" s="10">
        <v>1</v>
      </c>
      <c r="BC213" s="10">
        <v>36</v>
      </c>
      <c r="BD213" s="10">
        <v>2</v>
      </c>
      <c r="BE213" s="10">
        <v>0</v>
      </c>
      <c r="BF213" s="10">
        <v>19</v>
      </c>
      <c r="BG213" s="10">
        <v>12</v>
      </c>
      <c r="BH213" s="10">
        <v>4</v>
      </c>
      <c r="BI213" s="10">
        <v>2</v>
      </c>
      <c r="BJ213" s="10">
        <v>7</v>
      </c>
      <c r="BK213" s="10">
        <v>1</v>
      </c>
      <c r="BL213" s="10">
        <v>0</v>
      </c>
      <c r="BM213" s="10">
        <v>1</v>
      </c>
      <c r="BN213" s="10">
        <v>0</v>
      </c>
      <c r="BO213" s="10">
        <v>0</v>
      </c>
      <c r="BP213" s="10">
        <v>4</v>
      </c>
      <c r="BQ213" s="10">
        <v>0</v>
      </c>
      <c r="BR213" s="10">
        <v>7</v>
      </c>
      <c r="BS213" s="10">
        <v>59</v>
      </c>
    </row>
    <row r="214" spans="1:71" x14ac:dyDescent="0.55000000000000004">
      <c r="A214" s="10">
        <v>316</v>
      </c>
      <c r="B214" s="10">
        <v>2022</v>
      </c>
      <c r="C214" s="10">
        <v>5499</v>
      </c>
      <c r="D214" s="10">
        <v>41377</v>
      </c>
      <c r="E214" s="10">
        <v>17031</v>
      </c>
      <c r="F214" s="10">
        <v>8760</v>
      </c>
      <c r="G214" s="10">
        <v>8182</v>
      </c>
      <c r="H214" s="10">
        <v>3918</v>
      </c>
      <c r="I214" s="10">
        <v>15245</v>
      </c>
      <c r="J214" s="10">
        <v>0</v>
      </c>
      <c r="K214" s="10">
        <v>0</v>
      </c>
      <c r="L214" s="10">
        <v>5077</v>
      </c>
      <c r="M214" s="10">
        <v>7844</v>
      </c>
      <c r="N214" s="10">
        <v>0</v>
      </c>
      <c r="O214" s="10">
        <v>3930</v>
      </c>
      <c r="P214" s="10">
        <v>25472</v>
      </c>
      <c r="Q214" s="10">
        <v>6755</v>
      </c>
      <c r="R214" s="10">
        <v>5167</v>
      </c>
      <c r="S214" s="10">
        <v>112436</v>
      </c>
      <c r="T214" s="10">
        <v>41821</v>
      </c>
      <c r="U214" s="10">
        <v>19.696853973449716</v>
      </c>
      <c r="V214" s="10">
        <v>22.307707180317568</v>
      </c>
      <c r="W214" s="10">
        <v>32.140574176212702</v>
      </c>
      <c r="X214" s="10">
        <v>20.654747225647348</v>
      </c>
      <c r="Y214" s="10">
        <v>33.427625570776257</v>
      </c>
      <c r="Z214" s="10">
        <v>16.816181862625275</v>
      </c>
      <c r="AA214" s="10">
        <v>20.595201633486472</v>
      </c>
      <c r="AB214" s="10">
        <v>34.026500491964576</v>
      </c>
      <c r="AC214" s="10">
        <v>46.56714178544636</v>
      </c>
      <c r="AD214" s="10">
        <v>0</v>
      </c>
      <c r="AE214" s="10">
        <v>27.558203663580855</v>
      </c>
      <c r="AF214" s="10">
        <v>46.783146353901074</v>
      </c>
      <c r="AG214" s="10">
        <v>0</v>
      </c>
      <c r="AH214" s="10">
        <v>30.553689567430027</v>
      </c>
      <c r="AI214" s="10">
        <v>42.958739007537694</v>
      </c>
      <c r="AJ214" s="10">
        <v>59.312951372171405</v>
      </c>
      <c r="AK214" s="10">
        <v>29.623982235381199</v>
      </c>
      <c r="AL214" s="10">
        <v>24.037158892974649</v>
      </c>
      <c r="AM214" s="10">
        <v>33.373134328358212</v>
      </c>
      <c r="AN214" s="10">
        <v>3</v>
      </c>
      <c r="AO214" s="10">
        <v>4</v>
      </c>
      <c r="AP214" s="10">
        <v>15</v>
      </c>
      <c r="AQ214" s="10">
        <v>6</v>
      </c>
      <c r="AR214" s="10">
        <v>3</v>
      </c>
      <c r="AS214" s="10">
        <v>1</v>
      </c>
      <c r="AT214" s="10">
        <v>4</v>
      </c>
      <c r="AU214" s="10">
        <v>2</v>
      </c>
      <c r="AV214" s="10">
        <v>6</v>
      </c>
      <c r="AW214" s="10">
        <v>3</v>
      </c>
      <c r="AX214" s="10">
        <v>4</v>
      </c>
      <c r="AY214" s="10">
        <v>0</v>
      </c>
      <c r="AZ214" s="10">
        <v>12</v>
      </c>
      <c r="BA214" s="10">
        <v>2</v>
      </c>
      <c r="BB214" s="10">
        <v>3</v>
      </c>
      <c r="BC214" s="10">
        <v>68</v>
      </c>
      <c r="BD214" s="10">
        <v>0</v>
      </c>
      <c r="BE214" s="10">
        <v>0</v>
      </c>
      <c r="BF214" s="10">
        <v>17</v>
      </c>
      <c r="BG214" s="10">
        <v>7</v>
      </c>
      <c r="BH214" s="10">
        <v>1</v>
      </c>
      <c r="BI214" s="10">
        <v>1</v>
      </c>
      <c r="BJ214" s="10">
        <v>9</v>
      </c>
      <c r="BK214" s="10">
        <v>1</v>
      </c>
      <c r="BL214" s="10">
        <v>22</v>
      </c>
      <c r="BM214" s="10">
        <v>0</v>
      </c>
      <c r="BN214" s="10">
        <v>1</v>
      </c>
      <c r="BO214" s="10">
        <v>0</v>
      </c>
      <c r="BP214" s="10">
        <v>6</v>
      </c>
      <c r="BQ214" s="10">
        <v>0</v>
      </c>
      <c r="BR214" s="10">
        <v>1</v>
      </c>
      <c r="BS214" s="10">
        <v>66</v>
      </c>
    </row>
    <row r="215" spans="1:71" x14ac:dyDescent="0.55000000000000004">
      <c r="A215" s="10">
        <v>903</v>
      </c>
      <c r="B215" s="10">
        <v>2022</v>
      </c>
      <c r="C215" s="10">
        <v>5365</v>
      </c>
      <c r="D215" s="10">
        <v>41620</v>
      </c>
      <c r="E215" s="10">
        <v>15589</v>
      </c>
      <c r="F215" s="10">
        <v>9753</v>
      </c>
      <c r="G215" s="10">
        <v>0</v>
      </c>
      <c r="H215" s="10">
        <v>0</v>
      </c>
      <c r="I215" s="10">
        <v>26116</v>
      </c>
      <c r="J215" s="10">
        <v>0</v>
      </c>
      <c r="K215" s="10">
        <v>0</v>
      </c>
      <c r="L215" s="10">
        <v>6432</v>
      </c>
      <c r="M215" s="10">
        <v>4975</v>
      </c>
      <c r="N215" s="10">
        <v>0</v>
      </c>
      <c r="O215" s="10">
        <v>2774</v>
      </c>
      <c r="P215" s="10">
        <v>10136</v>
      </c>
      <c r="Q215" s="10">
        <v>4632</v>
      </c>
      <c r="R215" s="10">
        <v>0</v>
      </c>
      <c r="S215" s="10">
        <v>99276</v>
      </c>
      <c r="T215" s="10">
        <v>28116</v>
      </c>
      <c r="U215" s="10">
        <v>23.854240447343898</v>
      </c>
      <c r="V215" s="10">
        <v>23.748318116290243</v>
      </c>
      <c r="W215" s="10">
        <v>33.124480525756255</v>
      </c>
      <c r="X215" s="10">
        <v>17.679196869587528</v>
      </c>
      <c r="Y215" s="10">
        <v>31.468983902389009</v>
      </c>
      <c r="Z215" s="10">
        <v>0</v>
      </c>
      <c r="AA215" s="10">
        <v>0</v>
      </c>
      <c r="AB215" s="10">
        <v>33.125363761678663</v>
      </c>
      <c r="AC215" s="10">
        <v>50.09971181556196</v>
      </c>
      <c r="AD215" s="10">
        <v>0</v>
      </c>
      <c r="AE215" s="10">
        <v>21.66573383084577</v>
      </c>
      <c r="AF215" s="10">
        <v>44.196783919597991</v>
      </c>
      <c r="AG215" s="10">
        <v>0</v>
      </c>
      <c r="AH215" s="10">
        <v>23.262436914203317</v>
      </c>
      <c r="AI215" s="10">
        <v>38.871053670086816</v>
      </c>
      <c r="AJ215" s="10">
        <v>61.020182034032452</v>
      </c>
      <c r="AK215" s="10">
        <v>25.906303972366146</v>
      </c>
      <c r="AL215" s="10">
        <v>0</v>
      </c>
      <c r="AM215" s="10">
        <v>0</v>
      </c>
      <c r="AN215" s="10">
        <v>2</v>
      </c>
      <c r="AO215" s="10">
        <v>5</v>
      </c>
      <c r="AP215" s="10">
        <v>14</v>
      </c>
      <c r="AQ215" s="10">
        <v>2</v>
      </c>
      <c r="AR215" s="10">
        <v>0</v>
      </c>
      <c r="AS215" s="10">
        <v>0</v>
      </c>
      <c r="AT215" s="10">
        <v>5</v>
      </c>
      <c r="AU215" s="10">
        <v>1</v>
      </c>
      <c r="AV215" s="10">
        <v>0</v>
      </c>
      <c r="AW215" s="10">
        <v>1</v>
      </c>
      <c r="AX215" s="10">
        <v>2</v>
      </c>
      <c r="AY215" s="10">
        <v>0</v>
      </c>
      <c r="AZ215" s="10">
        <v>3</v>
      </c>
      <c r="BA215" s="10">
        <v>2</v>
      </c>
      <c r="BB215" s="10">
        <v>0</v>
      </c>
      <c r="BC215" s="10">
        <v>37</v>
      </c>
      <c r="BD215" s="10">
        <v>0</v>
      </c>
      <c r="BE215" s="10">
        <v>2</v>
      </c>
      <c r="BF215" s="10">
        <v>1</v>
      </c>
      <c r="BG215" s="10">
        <v>4</v>
      </c>
      <c r="BH215" s="10">
        <v>0</v>
      </c>
      <c r="BI215" s="10">
        <v>0</v>
      </c>
      <c r="BJ215" s="10">
        <v>2</v>
      </c>
      <c r="BK215" s="10">
        <v>0</v>
      </c>
      <c r="BL215" s="10">
        <v>0</v>
      </c>
      <c r="BM215" s="10">
        <v>0</v>
      </c>
      <c r="BN215" s="10">
        <v>0</v>
      </c>
      <c r="BO215" s="10">
        <v>0</v>
      </c>
      <c r="BP215" s="10">
        <v>2</v>
      </c>
      <c r="BQ215" s="10">
        <v>0</v>
      </c>
      <c r="BR215" s="10">
        <v>0</v>
      </c>
      <c r="BS215" s="10">
        <v>11</v>
      </c>
    </row>
    <row r="216" spans="1:71" x14ac:dyDescent="0.55000000000000004">
      <c r="A216" s="10">
        <v>968</v>
      </c>
      <c r="B216" s="10">
        <v>2022</v>
      </c>
      <c r="C216" s="10">
        <v>11852</v>
      </c>
      <c r="D216" s="10">
        <v>41748</v>
      </c>
      <c r="E216" s="10">
        <v>22567</v>
      </c>
      <c r="F216" s="10">
        <v>5016</v>
      </c>
      <c r="G216" s="10">
        <v>8611</v>
      </c>
      <c r="H216" s="10">
        <v>2288</v>
      </c>
      <c r="I216" s="10">
        <v>8706</v>
      </c>
      <c r="J216" s="10">
        <v>0</v>
      </c>
      <c r="K216" s="10">
        <v>0</v>
      </c>
      <c r="L216" s="10">
        <v>3760</v>
      </c>
      <c r="M216" s="10">
        <v>5748</v>
      </c>
      <c r="N216" s="10">
        <v>0</v>
      </c>
      <c r="O216" s="10">
        <v>3886</v>
      </c>
      <c r="P216" s="10">
        <v>13659</v>
      </c>
      <c r="Q216" s="10">
        <v>1887</v>
      </c>
      <c r="R216" s="10">
        <v>10408</v>
      </c>
      <c r="S216" s="10">
        <v>97768</v>
      </c>
      <c r="T216" s="10">
        <v>42368</v>
      </c>
      <c r="U216" s="10">
        <v>17.241140735740803</v>
      </c>
      <c r="V216" s="10">
        <v>22.254191817572099</v>
      </c>
      <c r="W216" s="10">
        <v>40.286199864038068</v>
      </c>
      <c r="X216" s="10">
        <v>13.016572871892587</v>
      </c>
      <c r="Y216" s="10">
        <v>36.964114832535884</v>
      </c>
      <c r="Z216" s="10">
        <v>16.322378353269073</v>
      </c>
      <c r="AA216" s="10">
        <v>17.321678321678323</v>
      </c>
      <c r="AB216" s="10">
        <v>33.401677004364807</v>
      </c>
      <c r="AC216" s="10">
        <v>52.481092436974784</v>
      </c>
      <c r="AD216" s="10">
        <v>0</v>
      </c>
      <c r="AE216" s="10">
        <v>0</v>
      </c>
      <c r="AF216" s="10">
        <v>34.389352818371606</v>
      </c>
      <c r="AG216" s="10">
        <v>0</v>
      </c>
      <c r="AH216" s="10">
        <v>24.357951621204322</v>
      </c>
      <c r="AI216" s="10">
        <v>37.261732191229221</v>
      </c>
      <c r="AJ216" s="10">
        <v>65.887323943661968</v>
      </c>
      <c r="AK216" s="10">
        <v>20.328033916269209</v>
      </c>
      <c r="AL216" s="10">
        <v>25.147098385857035</v>
      </c>
      <c r="AM216" s="10">
        <v>0</v>
      </c>
      <c r="AN216" s="10">
        <v>5</v>
      </c>
      <c r="AO216" s="10">
        <v>2</v>
      </c>
      <c r="AP216" s="10">
        <v>11</v>
      </c>
      <c r="AQ216" s="10">
        <v>8</v>
      </c>
      <c r="AR216" s="10">
        <v>4</v>
      </c>
      <c r="AS216" s="10">
        <v>1</v>
      </c>
      <c r="AT216" s="10">
        <v>3</v>
      </c>
      <c r="AU216" s="10">
        <v>3</v>
      </c>
      <c r="AV216" s="10">
        <v>0</v>
      </c>
      <c r="AW216" s="10">
        <v>2</v>
      </c>
      <c r="AX216" s="10">
        <v>2</v>
      </c>
      <c r="AY216" s="10">
        <v>0</v>
      </c>
      <c r="AZ216" s="10">
        <v>5</v>
      </c>
      <c r="BA216" s="10">
        <v>1</v>
      </c>
      <c r="BB216" s="10">
        <v>0</v>
      </c>
      <c r="BC216" s="10">
        <v>47</v>
      </c>
      <c r="BD216" s="10">
        <v>3</v>
      </c>
      <c r="BE216" s="10">
        <v>0</v>
      </c>
      <c r="BF216" s="10">
        <v>21</v>
      </c>
      <c r="BG216" s="10">
        <v>9</v>
      </c>
      <c r="BH216" s="10">
        <v>3</v>
      </c>
      <c r="BI216" s="10">
        <v>0</v>
      </c>
      <c r="BJ216" s="10">
        <v>3</v>
      </c>
      <c r="BK216" s="10">
        <v>0</v>
      </c>
      <c r="BL216" s="10">
        <v>0</v>
      </c>
      <c r="BM216" s="10">
        <v>0</v>
      </c>
      <c r="BN216" s="10">
        <v>0</v>
      </c>
      <c r="BO216" s="10">
        <v>0</v>
      </c>
      <c r="BP216" s="10">
        <v>2</v>
      </c>
      <c r="BQ216" s="10">
        <v>0</v>
      </c>
      <c r="BR216" s="10">
        <v>0</v>
      </c>
      <c r="BS216" s="10">
        <v>41</v>
      </c>
    </row>
    <row r="217" spans="1:71" x14ac:dyDescent="0.55000000000000004">
      <c r="A217" s="10">
        <v>576</v>
      </c>
      <c r="B217" s="10">
        <v>2022</v>
      </c>
      <c r="C217" s="10">
        <v>2948</v>
      </c>
      <c r="D217" s="10">
        <v>41749</v>
      </c>
      <c r="E217" s="10">
        <v>12695</v>
      </c>
      <c r="F217" s="10">
        <v>6894</v>
      </c>
      <c r="G217" s="10">
        <v>4875</v>
      </c>
      <c r="H217" s="10">
        <v>1405</v>
      </c>
      <c r="I217" s="10">
        <v>7843</v>
      </c>
      <c r="J217" s="10">
        <v>0</v>
      </c>
      <c r="K217" s="10">
        <v>0</v>
      </c>
      <c r="L217" s="10">
        <v>6045</v>
      </c>
      <c r="M217" s="10">
        <v>5378</v>
      </c>
      <c r="N217" s="10">
        <v>0</v>
      </c>
      <c r="O217" s="10">
        <v>2266</v>
      </c>
      <c r="P217" s="10">
        <v>7424</v>
      </c>
      <c r="Q217" s="10">
        <v>3003</v>
      </c>
      <c r="R217" s="10">
        <v>4064</v>
      </c>
      <c r="S217" s="10">
        <v>78454</v>
      </c>
      <c r="T217" s="10">
        <v>28135</v>
      </c>
      <c r="U217" s="10">
        <v>16.902645861601084</v>
      </c>
      <c r="V217" s="10">
        <v>22.062133224747896</v>
      </c>
      <c r="W217" s="10">
        <v>34.411594202898549</v>
      </c>
      <c r="X217" s="10">
        <v>18.944466325324932</v>
      </c>
      <c r="Y217" s="10">
        <v>27.611981433130257</v>
      </c>
      <c r="Z217" s="10">
        <v>16.565948717948718</v>
      </c>
      <c r="AA217" s="10">
        <v>17.903202846975088</v>
      </c>
      <c r="AB217" s="10">
        <v>27.396531939308936</v>
      </c>
      <c r="AC217" s="10">
        <v>50.62626262626263</v>
      </c>
      <c r="AD217" s="10">
        <v>0</v>
      </c>
      <c r="AE217" s="10">
        <v>21.093465674110835</v>
      </c>
      <c r="AF217" s="10">
        <v>50.355708441799926</v>
      </c>
      <c r="AG217" s="10">
        <v>0</v>
      </c>
      <c r="AH217" s="10">
        <v>24.932038834951456</v>
      </c>
      <c r="AI217" s="10">
        <v>57.771012931034477</v>
      </c>
      <c r="AJ217" s="10">
        <v>67.48888888888888</v>
      </c>
      <c r="AK217" s="10">
        <v>23.683316683316683</v>
      </c>
      <c r="AL217" s="10">
        <v>18.127952755905511</v>
      </c>
      <c r="AM217" s="10">
        <v>0</v>
      </c>
      <c r="AN217" s="10">
        <v>2</v>
      </c>
      <c r="AO217" s="10">
        <v>2</v>
      </c>
      <c r="AP217" s="10">
        <v>7</v>
      </c>
      <c r="AQ217" s="10">
        <v>4</v>
      </c>
      <c r="AR217" s="10">
        <v>0</v>
      </c>
      <c r="AS217" s="10">
        <v>0</v>
      </c>
      <c r="AT217" s="10">
        <v>0</v>
      </c>
      <c r="AU217" s="10">
        <v>1</v>
      </c>
      <c r="AV217" s="10">
        <v>0</v>
      </c>
      <c r="AW217" s="10">
        <v>3</v>
      </c>
      <c r="AX217" s="10">
        <v>3</v>
      </c>
      <c r="AY217" s="10">
        <v>0</v>
      </c>
      <c r="AZ217" s="10">
        <v>4</v>
      </c>
      <c r="BA217" s="10">
        <v>1</v>
      </c>
      <c r="BB217" s="10">
        <v>0</v>
      </c>
      <c r="BC217" s="10">
        <v>27</v>
      </c>
      <c r="BD217" s="10">
        <v>0</v>
      </c>
      <c r="BE217" s="10">
        <v>1</v>
      </c>
      <c r="BF217" s="10">
        <v>21</v>
      </c>
      <c r="BG217" s="10">
        <v>3</v>
      </c>
      <c r="BH217" s="10">
        <v>0</v>
      </c>
      <c r="BI217" s="10">
        <v>0</v>
      </c>
      <c r="BJ217" s="10">
        <v>2</v>
      </c>
      <c r="BK217" s="10">
        <v>0</v>
      </c>
      <c r="BL217" s="10">
        <v>0</v>
      </c>
      <c r="BM217" s="10">
        <v>0</v>
      </c>
      <c r="BN217" s="10">
        <v>0</v>
      </c>
      <c r="BO217" s="10">
        <v>0</v>
      </c>
      <c r="BP217" s="10">
        <v>0</v>
      </c>
      <c r="BQ217" s="10">
        <v>0</v>
      </c>
      <c r="BR217" s="10">
        <v>1</v>
      </c>
      <c r="BS217" s="10">
        <v>28</v>
      </c>
    </row>
    <row r="218" spans="1:71" x14ac:dyDescent="0.55000000000000004">
      <c r="A218" s="10">
        <v>418</v>
      </c>
      <c r="B218" s="10">
        <v>2022</v>
      </c>
      <c r="C218" s="10">
        <v>5557</v>
      </c>
      <c r="D218" s="10">
        <v>41766</v>
      </c>
      <c r="E218" s="10">
        <v>23283</v>
      </c>
      <c r="F218" s="10">
        <v>7655</v>
      </c>
      <c r="G218" s="10">
        <v>15409</v>
      </c>
      <c r="H218" s="10">
        <v>5534</v>
      </c>
      <c r="I218" s="10">
        <v>14374</v>
      </c>
      <c r="J218" s="10">
        <v>8</v>
      </c>
      <c r="K218" s="10">
        <v>0</v>
      </c>
      <c r="L218" s="10">
        <v>6624</v>
      </c>
      <c r="M218" s="10">
        <v>8967</v>
      </c>
      <c r="N218" s="10">
        <v>987</v>
      </c>
      <c r="O218" s="10">
        <v>2596</v>
      </c>
      <c r="P218" s="10">
        <v>17156</v>
      </c>
      <c r="Q218" s="10">
        <v>4179</v>
      </c>
      <c r="R218" s="10">
        <v>10375</v>
      </c>
      <c r="S218" s="10">
        <v>109993</v>
      </c>
      <c r="T218" s="10">
        <v>54477</v>
      </c>
      <c r="U218" s="10">
        <v>20.140543458700737</v>
      </c>
      <c r="V218" s="10">
        <v>24.849111717665085</v>
      </c>
      <c r="W218" s="10">
        <v>29.96</v>
      </c>
      <c r="X218" s="10">
        <v>19.161834815101145</v>
      </c>
      <c r="Y218" s="10">
        <v>29.349836708033962</v>
      </c>
      <c r="Z218" s="10">
        <v>18.926796028295151</v>
      </c>
      <c r="AA218" s="10">
        <v>19.017528008673654</v>
      </c>
      <c r="AB218" s="10">
        <v>32.089049673020732</v>
      </c>
      <c r="AC218" s="10">
        <v>46.694444444444443</v>
      </c>
      <c r="AD218" s="10">
        <v>0</v>
      </c>
      <c r="AE218" s="10">
        <v>24.78774154589372</v>
      </c>
      <c r="AF218" s="10">
        <v>38.814653730344595</v>
      </c>
      <c r="AG218" s="10">
        <v>28.457953394123606</v>
      </c>
      <c r="AH218" s="10">
        <v>22.714175654853619</v>
      </c>
      <c r="AI218" s="10">
        <v>38.982804849615292</v>
      </c>
      <c r="AJ218" s="10">
        <v>0</v>
      </c>
      <c r="AK218" s="10">
        <v>30.735104091888012</v>
      </c>
      <c r="AL218" s="10">
        <v>26.183807228915661</v>
      </c>
      <c r="AM218" s="10">
        <v>0</v>
      </c>
      <c r="AN218" s="10">
        <v>6</v>
      </c>
      <c r="AO218" s="10">
        <v>6</v>
      </c>
      <c r="AP218" s="10">
        <v>20</v>
      </c>
      <c r="AQ218" s="10">
        <v>16</v>
      </c>
      <c r="AR218" s="10">
        <v>13</v>
      </c>
      <c r="AS218" s="10">
        <v>0</v>
      </c>
      <c r="AT218" s="10">
        <v>7</v>
      </c>
      <c r="AU218" s="10">
        <v>5</v>
      </c>
      <c r="AV218" s="10">
        <v>0</v>
      </c>
      <c r="AW218" s="10">
        <v>3</v>
      </c>
      <c r="AX218" s="10">
        <v>4</v>
      </c>
      <c r="AY218" s="10">
        <v>1</v>
      </c>
      <c r="AZ218" s="10">
        <v>7</v>
      </c>
      <c r="BA218" s="10">
        <v>2</v>
      </c>
      <c r="BB218" s="10">
        <v>3</v>
      </c>
      <c r="BC218" s="10">
        <v>93</v>
      </c>
      <c r="BD218" s="10">
        <v>0</v>
      </c>
      <c r="BE218" s="10">
        <v>5</v>
      </c>
      <c r="BF218" s="10">
        <v>4</v>
      </c>
      <c r="BG218" s="10">
        <v>21</v>
      </c>
      <c r="BH218" s="10">
        <v>0</v>
      </c>
      <c r="BI218" s="10">
        <v>0</v>
      </c>
      <c r="BJ218" s="10">
        <v>0</v>
      </c>
      <c r="BK218" s="10">
        <v>0</v>
      </c>
      <c r="BL218" s="10">
        <v>0</v>
      </c>
      <c r="BM218" s="10">
        <v>0</v>
      </c>
      <c r="BN218" s="10">
        <v>0</v>
      </c>
      <c r="BO218" s="10">
        <v>0</v>
      </c>
      <c r="BP218" s="10">
        <v>1</v>
      </c>
      <c r="BQ218" s="10">
        <v>0</v>
      </c>
      <c r="BR218" s="10">
        <v>0</v>
      </c>
      <c r="BS218" s="10">
        <v>31</v>
      </c>
    </row>
    <row r="219" spans="1:71" x14ac:dyDescent="0.55000000000000004">
      <c r="A219" s="10">
        <v>424</v>
      </c>
      <c r="B219" s="10">
        <v>2022</v>
      </c>
      <c r="C219" s="10">
        <v>6922</v>
      </c>
      <c r="D219" s="10">
        <v>41864</v>
      </c>
      <c r="E219" s="10">
        <v>17278</v>
      </c>
      <c r="F219" s="10">
        <v>8122</v>
      </c>
      <c r="G219" s="10">
        <v>0</v>
      </c>
      <c r="H219" s="10">
        <v>0</v>
      </c>
      <c r="I219" s="10">
        <v>8738</v>
      </c>
      <c r="J219" s="10">
        <v>0</v>
      </c>
      <c r="K219" s="10">
        <v>305</v>
      </c>
      <c r="L219" s="10">
        <v>2773</v>
      </c>
      <c r="M219" s="10">
        <v>8006</v>
      </c>
      <c r="N219" s="10">
        <v>0</v>
      </c>
      <c r="O219" s="10">
        <v>2306</v>
      </c>
      <c r="P219" s="10">
        <v>23827</v>
      </c>
      <c r="Q219" s="10">
        <v>3476</v>
      </c>
      <c r="R219" s="10">
        <v>3162</v>
      </c>
      <c r="S219" s="10">
        <v>99073</v>
      </c>
      <c r="T219" s="10">
        <v>27706</v>
      </c>
      <c r="U219" s="10">
        <v>17.779110083790812</v>
      </c>
      <c r="V219" s="10">
        <v>20.502555895279951</v>
      </c>
      <c r="W219" s="10">
        <v>0</v>
      </c>
      <c r="X219" s="10">
        <v>18.486051626345642</v>
      </c>
      <c r="Y219" s="10">
        <v>28.867643437576952</v>
      </c>
      <c r="Z219" s="10">
        <v>0</v>
      </c>
      <c r="AA219" s="10">
        <v>0</v>
      </c>
      <c r="AB219" s="10">
        <v>31.92984664682994</v>
      </c>
      <c r="AC219" s="10">
        <v>0</v>
      </c>
      <c r="AD219" s="10">
        <v>-12.475409836065573</v>
      </c>
      <c r="AE219" s="10">
        <v>14.142805625676163</v>
      </c>
      <c r="AF219" s="10">
        <v>42.031476392705471</v>
      </c>
      <c r="AG219" s="10">
        <v>0</v>
      </c>
      <c r="AH219" s="10">
        <v>25.573720728534258</v>
      </c>
      <c r="AI219" s="10">
        <v>41.973517438200361</v>
      </c>
      <c r="AJ219" s="10">
        <v>0</v>
      </c>
      <c r="AK219" s="10">
        <v>19.132336018411969</v>
      </c>
      <c r="AL219" s="10">
        <v>19.420619860847562</v>
      </c>
      <c r="AM219" s="10">
        <v>0</v>
      </c>
      <c r="AN219" s="10">
        <v>2</v>
      </c>
      <c r="AO219" s="10">
        <v>3</v>
      </c>
      <c r="AP219" s="10">
        <v>9</v>
      </c>
      <c r="AQ219" s="10">
        <v>6</v>
      </c>
      <c r="AR219" s="10">
        <v>0</v>
      </c>
      <c r="AS219" s="10">
        <v>0</v>
      </c>
      <c r="AT219" s="10">
        <v>2</v>
      </c>
      <c r="AU219" s="10">
        <v>1</v>
      </c>
      <c r="AV219" s="10">
        <v>0</v>
      </c>
      <c r="AW219" s="10">
        <v>2</v>
      </c>
      <c r="AX219" s="10">
        <v>3</v>
      </c>
      <c r="AY219" s="10">
        <v>1</v>
      </c>
      <c r="AZ219" s="10">
        <v>8</v>
      </c>
      <c r="BA219" s="10">
        <v>2</v>
      </c>
      <c r="BB219" s="10">
        <v>1</v>
      </c>
      <c r="BC219" s="10">
        <v>40</v>
      </c>
      <c r="BD219" s="10">
        <v>0</v>
      </c>
      <c r="BE219" s="10">
        <v>0</v>
      </c>
      <c r="BF219" s="10">
        <v>12</v>
      </c>
      <c r="BG219" s="10">
        <v>4</v>
      </c>
      <c r="BH219" s="10">
        <v>0</v>
      </c>
      <c r="BI219" s="10">
        <v>0</v>
      </c>
      <c r="BJ219" s="10">
        <v>0</v>
      </c>
      <c r="BK219" s="10">
        <v>0</v>
      </c>
      <c r="BL219" s="10">
        <v>0</v>
      </c>
      <c r="BM219" s="10">
        <v>0</v>
      </c>
      <c r="BN219" s="10">
        <v>0</v>
      </c>
      <c r="BO219" s="10">
        <v>0</v>
      </c>
      <c r="BP219" s="10">
        <v>5</v>
      </c>
      <c r="BQ219" s="10">
        <v>0</v>
      </c>
      <c r="BR219" s="10">
        <v>0</v>
      </c>
      <c r="BS219" s="10">
        <v>21</v>
      </c>
    </row>
    <row r="220" spans="1:71" x14ac:dyDescent="0.55000000000000004">
      <c r="A220" s="10">
        <v>586</v>
      </c>
      <c r="B220" s="10">
        <v>2022</v>
      </c>
      <c r="C220" s="10">
        <v>7780</v>
      </c>
      <c r="D220" s="10">
        <v>42051</v>
      </c>
      <c r="E220" s="10">
        <v>15436</v>
      </c>
      <c r="F220" s="10">
        <v>9173</v>
      </c>
      <c r="G220" s="10">
        <v>9652</v>
      </c>
      <c r="H220" s="10">
        <v>2103</v>
      </c>
      <c r="I220" s="10">
        <v>17296</v>
      </c>
      <c r="J220" s="10">
        <v>0</v>
      </c>
      <c r="K220" s="10">
        <v>0</v>
      </c>
      <c r="L220" s="10">
        <v>0</v>
      </c>
      <c r="M220" s="10">
        <v>9639</v>
      </c>
      <c r="N220" s="10">
        <v>0</v>
      </c>
      <c r="O220" s="10">
        <v>4048</v>
      </c>
      <c r="P220" s="10">
        <v>10865</v>
      </c>
      <c r="Q220" s="10">
        <v>2129</v>
      </c>
      <c r="R220" s="10">
        <v>0</v>
      </c>
      <c r="S220" s="10">
        <v>89760</v>
      </c>
      <c r="T220" s="10">
        <v>40412</v>
      </c>
      <c r="U220" s="10">
        <v>15.987017994858611</v>
      </c>
      <c r="V220" s="10">
        <v>24.236046705191317</v>
      </c>
      <c r="W220" s="10">
        <v>0</v>
      </c>
      <c r="X220" s="10">
        <v>16.289323658979008</v>
      </c>
      <c r="Y220" s="10">
        <v>18.345361386678295</v>
      </c>
      <c r="Z220" s="10">
        <v>16.561541649399089</v>
      </c>
      <c r="AA220" s="10">
        <v>20.668568711364717</v>
      </c>
      <c r="AB220" s="10">
        <v>27.547120721554116</v>
      </c>
      <c r="AC220" s="10">
        <v>0</v>
      </c>
      <c r="AD220" s="10">
        <v>0</v>
      </c>
      <c r="AE220" s="10">
        <v>0</v>
      </c>
      <c r="AF220" s="10">
        <v>36.171698308953211</v>
      </c>
      <c r="AG220" s="10">
        <v>0</v>
      </c>
      <c r="AH220" s="10">
        <v>13.130434782608695</v>
      </c>
      <c r="AI220" s="10">
        <v>38.07694431661298</v>
      </c>
      <c r="AJ220" s="10">
        <v>0</v>
      </c>
      <c r="AK220" s="10">
        <v>25.301550023485202</v>
      </c>
      <c r="AL220" s="10">
        <v>0</v>
      </c>
      <c r="AM220" s="10">
        <v>0</v>
      </c>
      <c r="AN220" s="10">
        <v>0</v>
      </c>
      <c r="AO220" s="10">
        <v>4</v>
      </c>
      <c r="AP220" s="10">
        <v>23</v>
      </c>
      <c r="AQ220" s="10">
        <v>6</v>
      </c>
      <c r="AR220" s="10">
        <v>3</v>
      </c>
      <c r="AS220" s="10">
        <v>1</v>
      </c>
      <c r="AT220" s="10">
        <v>4</v>
      </c>
      <c r="AU220" s="10">
        <v>1</v>
      </c>
      <c r="AV220" s="10">
        <v>0</v>
      </c>
      <c r="AW220" s="10">
        <v>0</v>
      </c>
      <c r="AX220" s="10">
        <v>4</v>
      </c>
      <c r="AY220" s="10">
        <v>0</v>
      </c>
      <c r="AZ220" s="10">
        <v>4</v>
      </c>
      <c r="BA220" s="10">
        <v>1</v>
      </c>
      <c r="BB220" s="10">
        <v>0</v>
      </c>
      <c r="BC220" s="10">
        <v>51</v>
      </c>
      <c r="BD220" s="10">
        <v>3</v>
      </c>
      <c r="BE220" s="10">
        <v>0</v>
      </c>
      <c r="BF220" s="10">
        <v>12</v>
      </c>
      <c r="BG220" s="10">
        <v>9</v>
      </c>
      <c r="BH220" s="10">
        <v>2</v>
      </c>
      <c r="BI220" s="10">
        <v>0</v>
      </c>
      <c r="BJ220" s="10">
        <v>2</v>
      </c>
      <c r="BK220" s="10">
        <v>0</v>
      </c>
      <c r="BL220" s="10">
        <v>0</v>
      </c>
      <c r="BM220" s="10">
        <v>0</v>
      </c>
      <c r="BN220" s="10">
        <v>0</v>
      </c>
      <c r="BO220" s="10">
        <v>0</v>
      </c>
      <c r="BP220" s="10">
        <v>1</v>
      </c>
      <c r="BQ220" s="10">
        <v>0</v>
      </c>
      <c r="BR220" s="10">
        <v>0</v>
      </c>
      <c r="BS220" s="10">
        <v>29</v>
      </c>
    </row>
    <row r="221" spans="1:71" x14ac:dyDescent="0.55000000000000004">
      <c r="A221" s="10">
        <v>863</v>
      </c>
      <c r="B221" s="10">
        <v>2022</v>
      </c>
      <c r="C221" s="10">
        <v>4970</v>
      </c>
      <c r="D221" s="10">
        <v>42108</v>
      </c>
      <c r="E221" s="10">
        <v>17740</v>
      </c>
      <c r="F221" s="10">
        <v>8871</v>
      </c>
      <c r="G221" s="10">
        <v>6592</v>
      </c>
      <c r="H221" s="10">
        <v>2112</v>
      </c>
      <c r="I221" s="10">
        <v>8043</v>
      </c>
      <c r="J221" s="10">
        <v>0</v>
      </c>
      <c r="K221" s="10">
        <v>0</v>
      </c>
      <c r="L221" s="10">
        <v>4572</v>
      </c>
      <c r="M221" s="10">
        <v>4505</v>
      </c>
      <c r="N221" s="10">
        <v>0</v>
      </c>
      <c r="O221" s="10">
        <v>1629</v>
      </c>
      <c r="P221" s="10">
        <v>4029</v>
      </c>
      <c r="Q221" s="10">
        <v>3639</v>
      </c>
      <c r="R221" s="10">
        <v>5705</v>
      </c>
      <c r="S221" s="10">
        <v>77571</v>
      </c>
      <c r="T221" s="10">
        <v>36944</v>
      </c>
      <c r="U221" s="10">
        <v>19.227967806841047</v>
      </c>
      <c r="V221" s="10">
        <v>27.109622874513157</v>
      </c>
      <c r="W221" s="10">
        <v>35.432285368802901</v>
      </c>
      <c r="X221" s="10">
        <v>21.364205186020293</v>
      </c>
      <c r="Y221" s="10">
        <v>29.465223762822681</v>
      </c>
      <c r="Z221" s="10">
        <v>31.410345873786408</v>
      </c>
      <c r="AA221" s="10">
        <v>34.266571969696969</v>
      </c>
      <c r="AB221" s="10">
        <v>43.866965062787514</v>
      </c>
      <c r="AC221" s="10">
        <v>50.367008296730106</v>
      </c>
      <c r="AD221" s="10">
        <v>0</v>
      </c>
      <c r="AE221" s="10">
        <v>21.240813648293962</v>
      </c>
      <c r="AF221" s="10">
        <v>56.665038845726976</v>
      </c>
      <c r="AG221" s="10">
        <v>0</v>
      </c>
      <c r="AH221" s="10">
        <v>21.449969306322899</v>
      </c>
      <c r="AI221" s="10">
        <v>129.13849590469098</v>
      </c>
      <c r="AJ221" s="10">
        <v>64.744501718213058</v>
      </c>
      <c r="AK221" s="10">
        <v>20.97856553998351</v>
      </c>
      <c r="AL221" s="10">
        <v>24.881156879929883</v>
      </c>
      <c r="AM221" s="10">
        <v>37.377162629757784</v>
      </c>
      <c r="AN221" s="10">
        <v>2</v>
      </c>
      <c r="AO221" s="10">
        <v>5</v>
      </c>
      <c r="AP221" s="10">
        <v>14</v>
      </c>
      <c r="AQ221" s="10">
        <v>8</v>
      </c>
      <c r="AR221" s="10">
        <v>0</v>
      </c>
      <c r="AS221" s="10">
        <v>0</v>
      </c>
      <c r="AT221" s="10">
        <v>2</v>
      </c>
      <c r="AU221" s="10">
        <v>2</v>
      </c>
      <c r="AV221" s="10">
        <v>0</v>
      </c>
      <c r="AW221" s="10">
        <v>2</v>
      </c>
      <c r="AX221" s="10">
        <v>5</v>
      </c>
      <c r="AY221" s="10">
        <v>0</v>
      </c>
      <c r="AZ221" s="10">
        <v>3</v>
      </c>
      <c r="BA221" s="10">
        <v>2</v>
      </c>
      <c r="BB221" s="10">
        <v>1</v>
      </c>
      <c r="BC221" s="10">
        <v>46</v>
      </c>
      <c r="BD221" s="10">
        <v>3</v>
      </c>
      <c r="BE221" s="10">
        <v>0</v>
      </c>
      <c r="BF221" s="10">
        <v>6</v>
      </c>
      <c r="BG221" s="10">
        <v>4</v>
      </c>
      <c r="BH221" s="10">
        <v>0</v>
      </c>
      <c r="BI221" s="10">
        <v>0</v>
      </c>
      <c r="BJ221" s="10">
        <v>0</v>
      </c>
      <c r="BK221" s="10">
        <v>0</v>
      </c>
      <c r="BL221" s="10">
        <v>0</v>
      </c>
      <c r="BM221" s="10">
        <v>1</v>
      </c>
      <c r="BN221" s="10">
        <v>1</v>
      </c>
      <c r="BO221" s="10">
        <v>0</v>
      </c>
      <c r="BP221" s="10">
        <v>0</v>
      </c>
      <c r="BQ221" s="10">
        <v>0</v>
      </c>
      <c r="BR221" s="10">
        <v>0</v>
      </c>
      <c r="BS221" s="10">
        <v>15</v>
      </c>
    </row>
    <row r="222" spans="1:71" x14ac:dyDescent="0.55000000000000004">
      <c r="A222" s="10">
        <v>535</v>
      </c>
      <c r="B222" s="10">
        <v>2022</v>
      </c>
      <c r="C222" s="10">
        <v>3177</v>
      </c>
      <c r="D222" s="10">
        <v>42586</v>
      </c>
      <c r="E222" s="10">
        <v>12858</v>
      </c>
      <c r="F222" s="10">
        <v>5385</v>
      </c>
      <c r="G222" s="10">
        <v>3314</v>
      </c>
      <c r="H222" s="10">
        <v>1078</v>
      </c>
      <c r="I222" s="10">
        <v>2749</v>
      </c>
      <c r="J222" s="10">
        <v>563</v>
      </c>
      <c r="K222" s="10">
        <v>0</v>
      </c>
      <c r="L222" s="10">
        <v>6098</v>
      </c>
      <c r="M222" s="10">
        <v>5163</v>
      </c>
      <c r="N222" s="10">
        <v>750</v>
      </c>
      <c r="O222" s="10">
        <v>1104</v>
      </c>
      <c r="P222" s="10">
        <v>14248</v>
      </c>
      <c r="Q222" s="10">
        <v>1852</v>
      </c>
      <c r="R222" s="10">
        <v>2371</v>
      </c>
      <c r="S222" s="10">
        <v>79557</v>
      </c>
      <c r="T222" s="10">
        <v>23739</v>
      </c>
      <c r="U222" s="10">
        <v>23.181303116147308</v>
      </c>
      <c r="V222" s="10">
        <v>20.64889869910299</v>
      </c>
      <c r="W222" s="10">
        <v>38.055142745404765</v>
      </c>
      <c r="X222" s="10">
        <v>18.356665111214806</v>
      </c>
      <c r="Y222" s="10">
        <v>28.272980501392755</v>
      </c>
      <c r="Z222" s="10">
        <v>16.247736873868437</v>
      </c>
      <c r="AA222" s="10">
        <v>15.323747680890538</v>
      </c>
      <c r="AB222" s="10">
        <v>30.057475445616589</v>
      </c>
      <c r="AC222" s="10">
        <v>52.009020618556704</v>
      </c>
      <c r="AD222" s="10">
        <v>0</v>
      </c>
      <c r="AE222" s="10">
        <v>22.58560183666776</v>
      </c>
      <c r="AF222" s="10">
        <v>41.326360643036992</v>
      </c>
      <c r="AG222" s="10">
        <v>31.626666666666669</v>
      </c>
      <c r="AH222" s="10">
        <v>20.499094202898551</v>
      </c>
      <c r="AI222" s="10">
        <v>38.157706344750139</v>
      </c>
      <c r="AJ222" s="10">
        <v>64.006540697674424</v>
      </c>
      <c r="AK222" s="10">
        <v>25.55669546436285</v>
      </c>
      <c r="AL222" s="10">
        <v>30.41206242091944</v>
      </c>
      <c r="AM222" s="10">
        <v>0</v>
      </c>
      <c r="AN222" s="10">
        <v>4</v>
      </c>
      <c r="AO222" s="10">
        <v>4</v>
      </c>
      <c r="AP222" s="10">
        <v>14</v>
      </c>
      <c r="AQ222" s="10">
        <v>14</v>
      </c>
      <c r="AR222" s="10">
        <v>6</v>
      </c>
      <c r="AS222" s="10">
        <v>0</v>
      </c>
      <c r="AT222" s="10">
        <v>2</v>
      </c>
      <c r="AU222" s="10">
        <v>5</v>
      </c>
      <c r="AV222" s="10">
        <v>0</v>
      </c>
      <c r="AW222" s="10">
        <v>3</v>
      </c>
      <c r="AX222" s="10">
        <v>1</v>
      </c>
      <c r="AY222" s="10">
        <v>1</v>
      </c>
      <c r="AZ222" s="10">
        <v>4</v>
      </c>
      <c r="BA222" s="10">
        <v>1</v>
      </c>
      <c r="BB222" s="10">
        <v>2</v>
      </c>
      <c r="BC222" s="10">
        <v>61</v>
      </c>
      <c r="BD222" s="10">
        <v>0</v>
      </c>
      <c r="BE222" s="10">
        <v>5</v>
      </c>
      <c r="BF222" s="10">
        <v>9</v>
      </c>
      <c r="BG222" s="10">
        <v>24</v>
      </c>
      <c r="BH222" s="10">
        <v>0</v>
      </c>
      <c r="BI222" s="10">
        <v>0</v>
      </c>
      <c r="BJ222" s="10">
        <v>0</v>
      </c>
      <c r="BK222" s="10">
        <v>0</v>
      </c>
      <c r="BL222" s="10">
        <v>0</v>
      </c>
      <c r="BM222" s="10">
        <v>0</v>
      </c>
      <c r="BN222" s="10">
        <v>0</v>
      </c>
      <c r="BO222" s="10">
        <v>0</v>
      </c>
      <c r="BP222" s="10">
        <v>0</v>
      </c>
      <c r="BQ222" s="10">
        <v>0</v>
      </c>
      <c r="BR222" s="10">
        <v>1</v>
      </c>
      <c r="BS222" s="10">
        <v>39</v>
      </c>
    </row>
    <row r="223" spans="1:71" x14ac:dyDescent="0.55000000000000004">
      <c r="A223" s="10">
        <v>253</v>
      </c>
      <c r="B223" s="10">
        <v>2022</v>
      </c>
      <c r="C223" s="10">
        <v>4702</v>
      </c>
      <c r="D223" s="10">
        <v>42701</v>
      </c>
      <c r="E223" s="10">
        <v>0</v>
      </c>
      <c r="F223" s="10">
        <v>12518</v>
      </c>
      <c r="G223" s="10">
        <v>8854</v>
      </c>
      <c r="H223" s="10">
        <v>4058</v>
      </c>
      <c r="I223" s="10">
        <v>28049</v>
      </c>
      <c r="J223" s="10">
        <v>1048</v>
      </c>
      <c r="K223" s="10">
        <v>0</v>
      </c>
      <c r="L223" s="10">
        <v>10184</v>
      </c>
      <c r="M223" s="10">
        <v>7746</v>
      </c>
      <c r="N223" s="10">
        <v>14540</v>
      </c>
      <c r="O223" s="10">
        <v>5859</v>
      </c>
      <c r="P223" s="10">
        <v>57309</v>
      </c>
      <c r="Q223" s="10">
        <v>2453</v>
      </c>
      <c r="R223" s="10">
        <v>1</v>
      </c>
      <c r="S223" s="10">
        <v>168733</v>
      </c>
      <c r="T223" s="10">
        <v>31289</v>
      </c>
      <c r="U223" s="10">
        <v>19.999787324542748</v>
      </c>
      <c r="V223" s="10">
        <v>21.018008945926322</v>
      </c>
      <c r="W223" s="10">
        <v>33.124825662482564</v>
      </c>
      <c r="X223" s="10">
        <v>0</v>
      </c>
      <c r="Y223" s="10">
        <v>25.169436012142512</v>
      </c>
      <c r="Z223" s="10">
        <v>15.470070024847526</v>
      </c>
      <c r="AA223" s="10">
        <v>15.063824544110398</v>
      </c>
      <c r="AB223" s="10">
        <v>31.341509501229989</v>
      </c>
      <c r="AC223" s="10">
        <v>50.777777777777779</v>
      </c>
      <c r="AD223" s="10">
        <v>0</v>
      </c>
      <c r="AE223" s="10">
        <v>29.16231343283582</v>
      </c>
      <c r="AF223" s="10">
        <v>43.719080815904981</v>
      </c>
      <c r="AG223" s="10">
        <v>20.461829436038514</v>
      </c>
      <c r="AH223" s="10">
        <v>27.661546338965696</v>
      </c>
      <c r="AI223" s="10">
        <v>39.787014256050533</v>
      </c>
      <c r="AJ223" s="10">
        <v>52.623376623376629</v>
      </c>
      <c r="AK223" s="10">
        <v>28.955564614757439</v>
      </c>
      <c r="AL223" s="10">
        <v>17</v>
      </c>
      <c r="AM223" s="10">
        <v>0</v>
      </c>
      <c r="AN223" s="10">
        <v>2</v>
      </c>
      <c r="AO223" s="10">
        <v>3</v>
      </c>
      <c r="AP223" s="10">
        <v>18</v>
      </c>
      <c r="AQ223" s="10">
        <v>0</v>
      </c>
      <c r="AR223" s="10">
        <v>5</v>
      </c>
      <c r="AS223" s="10">
        <v>2</v>
      </c>
      <c r="AT223" s="10">
        <v>6</v>
      </c>
      <c r="AU223" s="10">
        <v>3</v>
      </c>
      <c r="AV223" s="10">
        <v>0</v>
      </c>
      <c r="AW223" s="10">
        <v>6</v>
      </c>
      <c r="AX223" s="10">
        <v>4</v>
      </c>
      <c r="AY223" s="10">
        <v>1</v>
      </c>
      <c r="AZ223" s="10">
        <v>23</v>
      </c>
      <c r="BA223" s="10">
        <v>1</v>
      </c>
      <c r="BB223" s="10">
        <v>0</v>
      </c>
      <c r="BC223" s="10">
        <v>74</v>
      </c>
      <c r="BD223" s="10">
        <v>1</v>
      </c>
      <c r="BE223" s="10">
        <v>2</v>
      </c>
      <c r="BF223" s="10">
        <v>22</v>
      </c>
      <c r="BG223" s="10">
        <v>0</v>
      </c>
      <c r="BH223" s="10">
        <v>1</v>
      </c>
      <c r="BI223" s="10">
        <v>0</v>
      </c>
      <c r="BJ223" s="10">
        <v>6</v>
      </c>
      <c r="BK223" s="10">
        <v>0</v>
      </c>
      <c r="BL223" s="10">
        <v>0</v>
      </c>
      <c r="BM223" s="10">
        <v>0</v>
      </c>
      <c r="BN223" s="10">
        <v>0</v>
      </c>
      <c r="BO223" s="10">
        <v>0</v>
      </c>
      <c r="BP223" s="10">
        <v>19</v>
      </c>
      <c r="BQ223" s="10">
        <v>0</v>
      </c>
      <c r="BR223" s="10">
        <v>0</v>
      </c>
      <c r="BS223" s="10">
        <v>51</v>
      </c>
    </row>
    <row r="224" spans="1:71" x14ac:dyDescent="0.55000000000000004">
      <c r="A224" s="10">
        <v>718</v>
      </c>
      <c r="B224" s="10">
        <v>2022</v>
      </c>
      <c r="C224" s="10">
        <v>10277</v>
      </c>
      <c r="D224" s="10">
        <v>43015</v>
      </c>
      <c r="E224" s="10">
        <v>20345</v>
      </c>
      <c r="F224" s="10">
        <v>3688</v>
      </c>
      <c r="G224" s="10">
        <v>7692</v>
      </c>
      <c r="H224" s="10">
        <v>2978</v>
      </c>
      <c r="I224" s="10">
        <v>12663</v>
      </c>
      <c r="J224" s="10">
        <v>0</v>
      </c>
      <c r="K224" s="10">
        <v>0</v>
      </c>
      <c r="L224" s="10">
        <v>6616</v>
      </c>
      <c r="M224" s="10">
        <v>5089</v>
      </c>
      <c r="N224" s="10">
        <v>0</v>
      </c>
      <c r="O224" s="10">
        <v>2010</v>
      </c>
      <c r="P224" s="10">
        <v>15214</v>
      </c>
      <c r="Q224" s="10">
        <v>4209</v>
      </c>
      <c r="R224" s="10">
        <v>9107</v>
      </c>
      <c r="S224" s="10">
        <v>106190</v>
      </c>
      <c r="T224" s="10">
        <v>36713</v>
      </c>
      <c r="U224" s="10">
        <v>25.323051474165613</v>
      </c>
      <c r="V224" s="10">
        <v>26.940695106358245</v>
      </c>
      <c r="W224" s="10">
        <v>35.828057359307358</v>
      </c>
      <c r="X224" s="10">
        <v>20.303170312115999</v>
      </c>
      <c r="Y224" s="10">
        <v>69.083785249457705</v>
      </c>
      <c r="Z224" s="10">
        <v>19.605174206968279</v>
      </c>
      <c r="AA224" s="10">
        <v>16.909335124244461</v>
      </c>
      <c r="AB224" s="10">
        <v>31.131406459764669</v>
      </c>
      <c r="AC224" s="10">
        <v>52.281553398058257</v>
      </c>
      <c r="AD224" s="10">
        <v>0</v>
      </c>
      <c r="AE224" s="10">
        <v>26.735036275695283</v>
      </c>
      <c r="AF224" s="10">
        <v>46.258007467085868</v>
      </c>
      <c r="AG224" s="10">
        <v>0</v>
      </c>
      <c r="AH224" s="10">
        <v>32.028855721393036</v>
      </c>
      <c r="AI224" s="10">
        <v>46.938674904693045</v>
      </c>
      <c r="AJ224" s="10">
        <v>64.498133554541681</v>
      </c>
      <c r="AK224" s="10">
        <v>30.31622713233547</v>
      </c>
      <c r="AL224" s="10">
        <v>25.639178653782803</v>
      </c>
      <c r="AM224" s="10">
        <v>55.214097496706188</v>
      </c>
      <c r="AN224" s="10">
        <v>5</v>
      </c>
      <c r="AO224" s="10">
        <v>0</v>
      </c>
      <c r="AP224" s="10">
        <v>25</v>
      </c>
      <c r="AQ224" s="10">
        <v>0</v>
      </c>
      <c r="AR224" s="10">
        <v>0</v>
      </c>
      <c r="AS224" s="10">
        <v>0</v>
      </c>
      <c r="AT224" s="10">
        <v>4</v>
      </c>
      <c r="AU224" s="10">
        <v>0</v>
      </c>
      <c r="AV224" s="10">
        <v>0</v>
      </c>
      <c r="AW224" s="10">
        <v>1</v>
      </c>
      <c r="AX224" s="10">
        <v>2</v>
      </c>
      <c r="AY224" s="10">
        <v>0</v>
      </c>
      <c r="AZ224" s="10">
        <v>8</v>
      </c>
      <c r="BA224" s="10">
        <v>4</v>
      </c>
      <c r="BB224" s="10">
        <v>5</v>
      </c>
      <c r="BC224" s="10">
        <v>54</v>
      </c>
      <c r="BD224" s="10">
        <v>0</v>
      </c>
      <c r="BE224" s="10">
        <v>0</v>
      </c>
      <c r="BF224" s="10">
        <v>21</v>
      </c>
      <c r="BG224" s="10">
        <v>0</v>
      </c>
      <c r="BH224" s="10">
        <v>0</v>
      </c>
      <c r="BI224" s="10">
        <v>0</v>
      </c>
      <c r="BJ224" s="10">
        <v>1</v>
      </c>
      <c r="BK224" s="10">
        <v>0</v>
      </c>
      <c r="BL224" s="10">
        <v>0</v>
      </c>
      <c r="BM224" s="10">
        <v>0</v>
      </c>
      <c r="BN224" s="10">
        <v>0</v>
      </c>
      <c r="BO224" s="10">
        <v>0</v>
      </c>
      <c r="BP224" s="10">
        <v>2</v>
      </c>
      <c r="BQ224" s="10">
        <v>0</v>
      </c>
      <c r="BR224" s="10">
        <v>0</v>
      </c>
      <c r="BS224" s="10">
        <v>24</v>
      </c>
    </row>
    <row r="225" spans="1:71" x14ac:dyDescent="0.55000000000000004">
      <c r="A225" s="10">
        <v>657</v>
      </c>
      <c r="B225" s="10">
        <v>2022</v>
      </c>
      <c r="C225" s="10">
        <v>5429</v>
      </c>
      <c r="D225" s="10">
        <v>43320</v>
      </c>
      <c r="E225" s="10">
        <v>1</v>
      </c>
      <c r="F225" s="10">
        <v>1</v>
      </c>
      <c r="G225" s="10">
        <v>1</v>
      </c>
      <c r="H225" s="10">
        <v>1</v>
      </c>
      <c r="I225" s="10">
        <v>12032</v>
      </c>
      <c r="J225" s="10">
        <v>0</v>
      </c>
      <c r="K225" s="10">
        <v>0</v>
      </c>
      <c r="L225" s="10">
        <v>0</v>
      </c>
      <c r="M225" s="10">
        <v>20439</v>
      </c>
      <c r="N225" s="10">
        <v>359</v>
      </c>
      <c r="O225" s="10">
        <v>1</v>
      </c>
      <c r="P225" s="10">
        <v>21234</v>
      </c>
      <c r="Q225" s="10">
        <v>1976</v>
      </c>
      <c r="R225" s="10">
        <v>0</v>
      </c>
      <c r="S225" s="10">
        <v>104789</v>
      </c>
      <c r="T225" s="10">
        <v>5</v>
      </c>
      <c r="U225" s="10">
        <v>23.144962239823169</v>
      </c>
      <c r="V225" s="10">
        <v>23.814981532779317</v>
      </c>
      <c r="W225" s="10">
        <v>34.359673024523161</v>
      </c>
      <c r="X225" s="10">
        <v>0</v>
      </c>
      <c r="Y225" s="10">
        <v>0</v>
      </c>
      <c r="Z225" s="10">
        <v>0</v>
      </c>
      <c r="AA225" s="10">
        <v>0</v>
      </c>
      <c r="AB225" s="10">
        <v>24.984375</v>
      </c>
      <c r="AC225" s="10">
        <v>0</v>
      </c>
      <c r="AD225" s="10">
        <v>0</v>
      </c>
      <c r="AE225" s="10">
        <v>0</v>
      </c>
      <c r="AF225" s="10">
        <v>45.269729438817947</v>
      </c>
      <c r="AG225" s="10">
        <v>49.944289693593312</v>
      </c>
      <c r="AH225" s="10">
        <v>0</v>
      </c>
      <c r="AI225" s="10">
        <v>35.180842045775641</v>
      </c>
      <c r="AJ225" s="10">
        <v>62.370370370370367</v>
      </c>
      <c r="AK225" s="10">
        <v>28.314271255060728</v>
      </c>
      <c r="AL225" s="10">
        <v>0</v>
      </c>
      <c r="AM225" s="10">
        <v>0</v>
      </c>
      <c r="AN225" s="10">
        <v>1</v>
      </c>
      <c r="AO225" s="10">
        <v>0</v>
      </c>
      <c r="AP225" s="10">
        <v>13</v>
      </c>
      <c r="AQ225" s="10">
        <v>0</v>
      </c>
      <c r="AR225" s="10">
        <v>0</v>
      </c>
      <c r="AS225" s="10">
        <v>0</v>
      </c>
      <c r="AT225" s="10">
        <v>2</v>
      </c>
      <c r="AU225" s="10">
        <v>0</v>
      </c>
      <c r="AV225" s="10">
        <v>0</v>
      </c>
      <c r="AW225" s="10">
        <v>0</v>
      </c>
      <c r="AX225" s="10">
        <v>7</v>
      </c>
      <c r="AY225" s="10">
        <v>0</v>
      </c>
      <c r="AZ225" s="10">
        <v>2</v>
      </c>
      <c r="BA225" s="10">
        <v>1</v>
      </c>
      <c r="BB225" s="10">
        <v>0</v>
      </c>
      <c r="BC225" s="10">
        <v>26</v>
      </c>
      <c r="BD225" s="10">
        <v>2</v>
      </c>
      <c r="BE225" s="10">
        <v>0</v>
      </c>
      <c r="BF225" s="10">
        <v>46</v>
      </c>
      <c r="BG225" s="10">
        <v>0</v>
      </c>
      <c r="BH225" s="10">
        <v>0</v>
      </c>
      <c r="BI225" s="10">
        <v>0</v>
      </c>
      <c r="BJ225" s="10">
        <v>7</v>
      </c>
      <c r="BK225" s="10">
        <v>0</v>
      </c>
      <c r="BL225" s="10">
        <v>0</v>
      </c>
      <c r="BM225" s="10">
        <v>0</v>
      </c>
      <c r="BN225" s="10">
        <v>3</v>
      </c>
      <c r="BO225" s="10">
        <v>1</v>
      </c>
      <c r="BP225" s="10">
        <v>17</v>
      </c>
      <c r="BQ225" s="10">
        <v>0</v>
      </c>
      <c r="BR225" s="10">
        <v>0</v>
      </c>
      <c r="BS225" s="10">
        <v>76</v>
      </c>
    </row>
    <row r="226" spans="1:71" x14ac:dyDescent="0.55000000000000004">
      <c r="A226" s="10">
        <v>325</v>
      </c>
      <c r="B226" s="10">
        <v>2022</v>
      </c>
      <c r="C226" s="10">
        <v>6714</v>
      </c>
      <c r="D226" s="10">
        <v>43440</v>
      </c>
      <c r="E226" s="10">
        <v>20072</v>
      </c>
      <c r="F226" s="10">
        <v>4895</v>
      </c>
      <c r="G226" s="10">
        <v>7919</v>
      </c>
      <c r="H226" s="10">
        <v>798</v>
      </c>
      <c r="I226" s="10">
        <v>18735</v>
      </c>
      <c r="J226" s="10">
        <v>0</v>
      </c>
      <c r="K226" s="10">
        <v>0</v>
      </c>
      <c r="L226" s="10">
        <v>4824</v>
      </c>
      <c r="M226" s="10">
        <v>11439</v>
      </c>
      <c r="N226" s="10">
        <v>0</v>
      </c>
      <c r="O226" s="10">
        <v>2786</v>
      </c>
      <c r="P226" s="10">
        <v>7087</v>
      </c>
      <c r="Q226" s="10">
        <v>2714</v>
      </c>
      <c r="R226" s="10">
        <v>13726</v>
      </c>
      <c r="S226" s="10">
        <v>108679</v>
      </c>
      <c r="T226" s="10">
        <v>36470</v>
      </c>
      <c r="U226" s="10">
        <v>14.353738456955615</v>
      </c>
      <c r="V226" s="10">
        <v>18.537707182320442</v>
      </c>
      <c r="W226" s="10">
        <v>36.849557522123895</v>
      </c>
      <c r="X226" s="10">
        <v>15.674820645675569</v>
      </c>
      <c r="Y226" s="10">
        <v>33.656179775280897</v>
      </c>
      <c r="Z226" s="10">
        <v>12.3472660689481</v>
      </c>
      <c r="AA226" s="10">
        <v>12.083959899749372</v>
      </c>
      <c r="AB226" s="10">
        <v>23.964077929009875</v>
      </c>
      <c r="AC226" s="10">
        <v>0</v>
      </c>
      <c r="AD226" s="10">
        <v>0</v>
      </c>
      <c r="AE226" s="10">
        <v>20.221393034825869</v>
      </c>
      <c r="AF226" s="10">
        <v>31.585016172742371</v>
      </c>
      <c r="AG226" s="10">
        <v>0</v>
      </c>
      <c r="AH226" s="10">
        <v>19.924982053122754</v>
      </c>
      <c r="AI226" s="10">
        <v>35.599971779314238</v>
      </c>
      <c r="AJ226" s="10">
        <v>0</v>
      </c>
      <c r="AK226" s="10">
        <v>21.670965364775238</v>
      </c>
      <c r="AL226" s="10">
        <v>18.832871921900043</v>
      </c>
      <c r="AM226" s="10">
        <v>0</v>
      </c>
      <c r="AN226" s="10">
        <v>2</v>
      </c>
      <c r="AO226" s="10">
        <v>2</v>
      </c>
      <c r="AP226" s="10">
        <v>9</v>
      </c>
      <c r="AQ226" s="10">
        <v>4</v>
      </c>
      <c r="AR226" s="10">
        <v>0</v>
      </c>
      <c r="AS226" s="10">
        <v>0</v>
      </c>
      <c r="AT226" s="10">
        <v>5</v>
      </c>
      <c r="AU226" s="10">
        <v>0</v>
      </c>
      <c r="AV226" s="10">
        <v>0</v>
      </c>
      <c r="AW226" s="10">
        <v>2</v>
      </c>
      <c r="AX226" s="10">
        <v>5</v>
      </c>
      <c r="AY226" s="10">
        <v>0</v>
      </c>
      <c r="AZ226" s="10">
        <v>3</v>
      </c>
      <c r="BA226" s="10">
        <v>1</v>
      </c>
      <c r="BB226" s="10">
        <v>4</v>
      </c>
      <c r="BC226" s="10">
        <v>37</v>
      </c>
      <c r="BD226" s="10">
        <v>2</v>
      </c>
      <c r="BE226" s="10">
        <v>0</v>
      </c>
      <c r="BF226" s="10">
        <v>6</v>
      </c>
      <c r="BG226" s="10">
        <v>5</v>
      </c>
      <c r="BH226" s="10">
        <v>0</v>
      </c>
      <c r="BI226" s="10">
        <v>0</v>
      </c>
      <c r="BJ226" s="10">
        <v>1</v>
      </c>
      <c r="BK226" s="10">
        <v>0</v>
      </c>
      <c r="BL226" s="10">
        <v>0</v>
      </c>
      <c r="BM226" s="10">
        <v>0</v>
      </c>
      <c r="BN226" s="10">
        <v>0</v>
      </c>
      <c r="BO226" s="10">
        <v>2</v>
      </c>
      <c r="BP226" s="10">
        <v>0</v>
      </c>
      <c r="BQ226" s="10">
        <v>0</v>
      </c>
      <c r="BR226" s="10">
        <v>0</v>
      </c>
      <c r="BS226" s="10">
        <v>16</v>
      </c>
    </row>
    <row r="227" spans="1:71" x14ac:dyDescent="0.55000000000000004">
      <c r="A227" s="10">
        <v>623</v>
      </c>
      <c r="B227" s="10">
        <v>2022</v>
      </c>
      <c r="C227" s="10">
        <v>7679</v>
      </c>
      <c r="D227" s="10">
        <v>44043</v>
      </c>
      <c r="E227" s="10">
        <v>20812</v>
      </c>
      <c r="F227" s="10">
        <v>5923</v>
      </c>
      <c r="G227" s="10">
        <v>4293</v>
      </c>
      <c r="H227" s="10">
        <v>2039</v>
      </c>
      <c r="I227" s="10">
        <v>13394</v>
      </c>
      <c r="J227" s="10">
        <v>0</v>
      </c>
      <c r="K227" s="10">
        <v>0</v>
      </c>
      <c r="L227" s="10">
        <v>5350</v>
      </c>
      <c r="M227" s="10">
        <v>6249</v>
      </c>
      <c r="N227" s="10">
        <v>2168</v>
      </c>
      <c r="O227" s="10">
        <v>4093</v>
      </c>
      <c r="P227" s="10">
        <v>14308</v>
      </c>
      <c r="Q227" s="10">
        <v>3350</v>
      </c>
      <c r="R227" s="10">
        <v>12046</v>
      </c>
      <c r="S227" s="10">
        <v>108587</v>
      </c>
      <c r="T227" s="10">
        <v>37160</v>
      </c>
      <c r="U227" s="10">
        <v>16.801276207839564</v>
      </c>
      <c r="V227" s="10">
        <v>22.578797992870602</v>
      </c>
      <c r="W227" s="10">
        <v>32.924369747899163</v>
      </c>
      <c r="X227" s="10">
        <v>12.762636940226793</v>
      </c>
      <c r="Y227" s="10">
        <v>39.50734425122404</v>
      </c>
      <c r="Z227" s="10">
        <v>14.416957838341485</v>
      </c>
      <c r="AA227" s="10">
        <v>15.447278077488964</v>
      </c>
      <c r="AB227" s="10">
        <v>28.940122442884871</v>
      </c>
      <c r="AC227" s="10">
        <v>46.615384615384613</v>
      </c>
      <c r="AD227" s="10">
        <v>0</v>
      </c>
      <c r="AE227" s="10">
        <v>19.987850467289718</v>
      </c>
      <c r="AF227" s="10">
        <v>41.440550488078088</v>
      </c>
      <c r="AG227" s="10">
        <v>15.600553505535055</v>
      </c>
      <c r="AH227" s="10">
        <v>25.07305155142927</v>
      </c>
      <c r="AI227" s="10">
        <v>34.87636287391669</v>
      </c>
      <c r="AJ227" s="10">
        <v>0</v>
      </c>
      <c r="AK227" s="10">
        <v>21.915820895522387</v>
      </c>
      <c r="AL227" s="10">
        <v>23.46911837954508</v>
      </c>
      <c r="AM227" s="10">
        <v>0</v>
      </c>
      <c r="AN227" s="10">
        <v>2</v>
      </c>
      <c r="AO227" s="10">
        <v>2</v>
      </c>
      <c r="AP227" s="10">
        <v>16</v>
      </c>
      <c r="AQ227" s="10">
        <v>7</v>
      </c>
      <c r="AR227" s="10">
        <v>2</v>
      </c>
      <c r="AS227" s="10">
        <v>1</v>
      </c>
      <c r="AT227" s="10">
        <v>5</v>
      </c>
      <c r="AU227" s="10">
        <v>2</v>
      </c>
      <c r="AV227" s="10">
        <v>0</v>
      </c>
      <c r="AW227" s="10">
        <v>2</v>
      </c>
      <c r="AX227" s="10">
        <v>3</v>
      </c>
      <c r="AY227" s="10">
        <v>0</v>
      </c>
      <c r="AZ227" s="10">
        <v>9</v>
      </c>
      <c r="BA227" s="10">
        <v>1</v>
      </c>
      <c r="BB227" s="10">
        <v>3</v>
      </c>
      <c r="BC227" s="10">
        <v>55</v>
      </c>
      <c r="BD227" s="10">
        <v>1</v>
      </c>
      <c r="BE227" s="10">
        <v>0</v>
      </c>
      <c r="BF227" s="10">
        <v>6</v>
      </c>
      <c r="BG227" s="10">
        <v>4</v>
      </c>
      <c r="BH227" s="10">
        <v>0</v>
      </c>
      <c r="BI227" s="10">
        <v>0</v>
      </c>
      <c r="BJ227" s="10">
        <v>1</v>
      </c>
      <c r="BK227" s="10">
        <v>0</v>
      </c>
      <c r="BL227" s="10">
        <v>0</v>
      </c>
      <c r="BM227" s="10">
        <v>0</v>
      </c>
      <c r="BN227" s="10">
        <v>0</v>
      </c>
      <c r="BO227" s="10">
        <v>1</v>
      </c>
      <c r="BP227" s="10">
        <v>1</v>
      </c>
      <c r="BQ227" s="10">
        <v>0</v>
      </c>
      <c r="BR227" s="10">
        <v>4</v>
      </c>
      <c r="BS227" s="10">
        <v>18</v>
      </c>
    </row>
    <row r="228" spans="1:71" x14ac:dyDescent="0.55000000000000004">
      <c r="A228" s="10">
        <v>383</v>
      </c>
      <c r="B228" s="10">
        <v>2022</v>
      </c>
      <c r="C228" s="10">
        <v>6063</v>
      </c>
      <c r="D228" s="10">
        <v>44091</v>
      </c>
      <c r="E228" s="10">
        <v>15381</v>
      </c>
      <c r="F228" s="10">
        <v>9128</v>
      </c>
      <c r="G228" s="10">
        <v>5816</v>
      </c>
      <c r="H228" s="10">
        <v>3253</v>
      </c>
      <c r="I228" s="10">
        <v>16483</v>
      </c>
      <c r="J228" s="10">
        <v>0</v>
      </c>
      <c r="K228" s="10">
        <v>0</v>
      </c>
      <c r="L228" s="10">
        <v>6201</v>
      </c>
      <c r="M228" s="10">
        <v>7352</v>
      </c>
      <c r="N228" s="10">
        <v>0</v>
      </c>
      <c r="O228" s="10">
        <v>4938</v>
      </c>
      <c r="P228" s="10">
        <v>6091</v>
      </c>
      <c r="Q228" s="10">
        <v>2160</v>
      </c>
      <c r="R228" s="10">
        <v>6622</v>
      </c>
      <c r="S228" s="10">
        <v>95063</v>
      </c>
      <c r="T228" s="10">
        <v>38516</v>
      </c>
      <c r="U228" s="10">
        <v>22.50602012205179</v>
      </c>
      <c r="V228" s="10">
        <v>24.105599782268488</v>
      </c>
      <c r="W228" s="10">
        <v>0</v>
      </c>
      <c r="X228" s="10">
        <v>18.828944802028477</v>
      </c>
      <c r="Y228" s="10">
        <v>36.155236634531114</v>
      </c>
      <c r="Z228" s="10">
        <v>16.357462173314993</v>
      </c>
      <c r="AA228" s="10">
        <v>17.394405164463574</v>
      </c>
      <c r="AB228" s="10">
        <v>31.014924467633318</v>
      </c>
      <c r="AC228" s="10">
        <v>0</v>
      </c>
      <c r="AD228" s="10">
        <v>0</v>
      </c>
      <c r="AE228" s="10">
        <v>26.153362360909529</v>
      </c>
      <c r="AF228" s="10">
        <v>40.198041349292708</v>
      </c>
      <c r="AG228" s="10">
        <v>0</v>
      </c>
      <c r="AH228" s="10">
        <v>24.040704738760631</v>
      </c>
      <c r="AI228" s="10">
        <v>32.706123789197179</v>
      </c>
      <c r="AJ228" s="10">
        <v>0</v>
      </c>
      <c r="AK228" s="10">
        <v>32.770370370370372</v>
      </c>
      <c r="AL228" s="10">
        <v>28.919208698278464</v>
      </c>
      <c r="AM228" s="10">
        <v>0</v>
      </c>
      <c r="AN228" s="10">
        <v>1</v>
      </c>
      <c r="AO228" s="10">
        <v>4</v>
      </c>
      <c r="AP228" s="10">
        <v>12</v>
      </c>
      <c r="AQ228" s="10">
        <v>3</v>
      </c>
      <c r="AR228" s="10">
        <v>2</v>
      </c>
      <c r="AS228" s="10">
        <v>1</v>
      </c>
      <c r="AT228" s="10">
        <v>5</v>
      </c>
      <c r="AU228" s="10">
        <v>2</v>
      </c>
      <c r="AV228" s="10">
        <v>0</v>
      </c>
      <c r="AW228" s="10">
        <v>3</v>
      </c>
      <c r="AX228" s="10">
        <v>4</v>
      </c>
      <c r="AY228" s="10">
        <v>0</v>
      </c>
      <c r="AZ228" s="10">
        <v>3</v>
      </c>
      <c r="BA228" s="10">
        <v>1</v>
      </c>
      <c r="BB228" s="10">
        <v>2</v>
      </c>
      <c r="BC228" s="10">
        <v>43</v>
      </c>
      <c r="BD228" s="10">
        <v>3</v>
      </c>
      <c r="BE228" s="10">
        <v>0</v>
      </c>
      <c r="BF228" s="10">
        <v>12</v>
      </c>
      <c r="BG228" s="10">
        <v>4</v>
      </c>
      <c r="BH228" s="10">
        <v>0</v>
      </c>
      <c r="BI228" s="10">
        <v>0</v>
      </c>
      <c r="BJ228" s="10">
        <v>5</v>
      </c>
      <c r="BK228" s="10">
        <v>0</v>
      </c>
      <c r="BL228" s="10">
        <v>0</v>
      </c>
      <c r="BM228" s="10">
        <v>0</v>
      </c>
      <c r="BN228" s="10">
        <v>0</v>
      </c>
      <c r="BO228" s="10">
        <v>0</v>
      </c>
      <c r="BP228" s="10">
        <v>1</v>
      </c>
      <c r="BQ228" s="10">
        <v>0</v>
      </c>
      <c r="BR228" s="10">
        <v>0</v>
      </c>
      <c r="BS228" s="10">
        <v>25</v>
      </c>
    </row>
    <row r="229" spans="1:71" x14ac:dyDescent="0.55000000000000004">
      <c r="A229" s="10">
        <v>499</v>
      </c>
      <c r="B229" s="10">
        <v>2022</v>
      </c>
      <c r="C229" s="10">
        <v>4507</v>
      </c>
      <c r="D229" s="10">
        <v>44581</v>
      </c>
      <c r="E229" s="10">
        <v>16851</v>
      </c>
      <c r="F229" s="10">
        <v>11227</v>
      </c>
      <c r="G229" s="10">
        <v>7383</v>
      </c>
      <c r="H229" s="10">
        <v>3260</v>
      </c>
      <c r="I229" s="10">
        <v>16937</v>
      </c>
      <c r="J229" s="10">
        <v>0</v>
      </c>
      <c r="K229" s="10">
        <v>0</v>
      </c>
      <c r="L229" s="10">
        <v>3129</v>
      </c>
      <c r="M229" s="10">
        <v>6731</v>
      </c>
      <c r="N229" s="10">
        <v>0</v>
      </c>
      <c r="O229" s="10">
        <v>4924</v>
      </c>
      <c r="P229" s="10">
        <v>14378</v>
      </c>
      <c r="Q229" s="10">
        <v>5112</v>
      </c>
      <c r="R229" s="10">
        <v>835</v>
      </c>
      <c r="S229" s="10">
        <v>96210</v>
      </c>
      <c r="T229" s="10">
        <v>43645</v>
      </c>
      <c r="U229" s="10">
        <v>22.783004215664523</v>
      </c>
      <c r="V229" s="10">
        <v>21.503263722213497</v>
      </c>
      <c r="W229" s="10">
        <v>32.789575914535448</v>
      </c>
      <c r="X229" s="10">
        <v>17.89347813186161</v>
      </c>
      <c r="Y229" s="10">
        <v>26.661084884653068</v>
      </c>
      <c r="Z229" s="10">
        <v>15.784098604903155</v>
      </c>
      <c r="AA229" s="10">
        <v>17.239570552147239</v>
      </c>
      <c r="AB229" s="10">
        <v>25.483379583161124</v>
      </c>
      <c r="AC229" s="10">
        <v>49.79937057435091</v>
      </c>
      <c r="AD229" s="10">
        <v>0</v>
      </c>
      <c r="AE229" s="10">
        <v>20.646532438478747</v>
      </c>
      <c r="AF229" s="10">
        <v>45.995988708958549</v>
      </c>
      <c r="AG229" s="10">
        <v>0</v>
      </c>
      <c r="AH229" s="10">
        <v>25.738424045491467</v>
      </c>
      <c r="AI229" s="10">
        <v>30.357838364167478</v>
      </c>
      <c r="AJ229" s="10">
        <v>56.48554913294798</v>
      </c>
      <c r="AK229" s="10">
        <v>29.483372456964005</v>
      </c>
      <c r="AL229" s="10">
        <v>19.701796407185629</v>
      </c>
      <c r="AM229" s="10">
        <v>0</v>
      </c>
      <c r="AN229" s="10">
        <v>3</v>
      </c>
      <c r="AO229" s="10">
        <v>4</v>
      </c>
      <c r="AP229" s="10">
        <v>14</v>
      </c>
      <c r="AQ229" s="10">
        <v>6</v>
      </c>
      <c r="AR229" s="10">
        <v>3</v>
      </c>
      <c r="AS229" s="10">
        <v>1</v>
      </c>
      <c r="AT229" s="10">
        <v>7</v>
      </c>
      <c r="AU229" s="10">
        <v>3</v>
      </c>
      <c r="AV229" s="10">
        <v>3</v>
      </c>
      <c r="AW229" s="10">
        <v>4</v>
      </c>
      <c r="AX229" s="10">
        <v>3</v>
      </c>
      <c r="AY229" s="10">
        <v>0</v>
      </c>
      <c r="AZ229" s="10">
        <v>2</v>
      </c>
      <c r="BA229" s="10">
        <v>2</v>
      </c>
      <c r="BB229" s="10">
        <v>0</v>
      </c>
      <c r="BC229" s="10">
        <v>55</v>
      </c>
      <c r="BD229" s="10">
        <v>0</v>
      </c>
      <c r="BE229" s="10">
        <v>5</v>
      </c>
      <c r="BF229" s="10">
        <v>24</v>
      </c>
      <c r="BG229" s="10">
        <v>17</v>
      </c>
      <c r="BH229" s="10">
        <v>3</v>
      </c>
      <c r="BI229" s="10">
        <v>2</v>
      </c>
      <c r="BJ229" s="10">
        <v>5</v>
      </c>
      <c r="BK229" s="10">
        <v>0</v>
      </c>
      <c r="BL229" s="10">
        <v>7</v>
      </c>
      <c r="BM229" s="10">
        <v>0</v>
      </c>
      <c r="BN229" s="10">
        <v>0</v>
      </c>
      <c r="BO229" s="10">
        <v>0</v>
      </c>
      <c r="BP229" s="10">
        <v>6</v>
      </c>
      <c r="BQ229" s="10">
        <v>0</v>
      </c>
      <c r="BR229" s="10">
        <v>2</v>
      </c>
      <c r="BS229" s="10">
        <v>71</v>
      </c>
    </row>
    <row r="230" spans="1:71" x14ac:dyDescent="0.55000000000000004">
      <c r="A230" s="10">
        <v>157</v>
      </c>
      <c r="B230" s="10">
        <v>2022</v>
      </c>
      <c r="C230" s="10">
        <v>6726</v>
      </c>
      <c r="D230" s="10">
        <v>45252</v>
      </c>
      <c r="E230" s="10">
        <v>41864</v>
      </c>
      <c r="F230" s="10">
        <v>8094</v>
      </c>
      <c r="G230" s="10">
        <v>4767</v>
      </c>
      <c r="H230" s="10">
        <v>4162</v>
      </c>
      <c r="I230" s="10">
        <v>6682</v>
      </c>
      <c r="J230" s="10">
        <v>0</v>
      </c>
      <c r="K230" s="10">
        <v>0</v>
      </c>
      <c r="L230" s="10">
        <v>7613</v>
      </c>
      <c r="M230" s="10">
        <v>6328</v>
      </c>
      <c r="N230" s="10">
        <v>1482</v>
      </c>
      <c r="O230" s="10">
        <v>5930</v>
      </c>
      <c r="P230" s="10">
        <v>25613</v>
      </c>
      <c r="Q230" s="10">
        <v>3934</v>
      </c>
      <c r="R230" s="10">
        <v>7922</v>
      </c>
      <c r="S230" s="10">
        <v>111552</v>
      </c>
      <c r="T230" s="10">
        <v>64817</v>
      </c>
      <c r="U230" s="10">
        <v>22.567647933392802</v>
      </c>
      <c r="V230" s="10">
        <v>20.9738133121188</v>
      </c>
      <c r="W230" s="10">
        <v>42.874948325754438</v>
      </c>
      <c r="X230" s="10">
        <v>8.287812918020256</v>
      </c>
      <c r="Y230" s="10">
        <v>67.507165801828521</v>
      </c>
      <c r="Z230" s="10">
        <v>15.515628277742815</v>
      </c>
      <c r="AA230" s="10">
        <v>19.532196059586738</v>
      </c>
      <c r="AB230" s="10">
        <v>33.098922478299912</v>
      </c>
      <c r="AC230" s="10">
        <v>51.394230769230766</v>
      </c>
      <c r="AD230" s="10">
        <v>0</v>
      </c>
      <c r="AE230" s="10">
        <v>23.607644818074348</v>
      </c>
      <c r="AF230" s="10">
        <v>43.625474083438689</v>
      </c>
      <c r="AG230" s="10">
        <v>28.142375168690958</v>
      </c>
      <c r="AH230" s="10">
        <v>24.986003372681278</v>
      </c>
      <c r="AI230" s="10">
        <v>37.904540662944598</v>
      </c>
      <c r="AJ230" s="10">
        <v>70.385852090032159</v>
      </c>
      <c r="AK230" s="10">
        <v>28.034824605998985</v>
      </c>
      <c r="AL230" s="10">
        <v>21.80282756879576</v>
      </c>
      <c r="AM230" s="10">
        <v>66.59765625</v>
      </c>
      <c r="AN230" s="10">
        <v>3</v>
      </c>
      <c r="AO230" s="10">
        <v>4</v>
      </c>
      <c r="AP230" s="10">
        <v>13</v>
      </c>
      <c r="AQ230" s="10">
        <v>15</v>
      </c>
      <c r="AR230" s="10">
        <v>1</v>
      </c>
      <c r="AS230" s="10">
        <v>2</v>
      </c>
      <c r="AT230" s="10">
        <v>5</v>
      </c>
      <c r="AU230" s="10">
        <v>3</v>
      </c>
      <c r="AV230" s="10">
        <v>0</v>
      </c>
      <c r="AW230" s="10">
        <v>4</v>
      </c>
      <c r="AX230" s="10">
        <v>2</v>
      </c>
      <c r="AY230" s="10">
        <v>0</v>
      </c>
      <c r="AZ230" s="10">
        <v>12</v>
      </c>
      <c r="BA230" s="10">
        <v>2</v>
      </c>
      <c r="BB230" s="10">
        <v>1</v>
      </c>
      <c r="BC230" s="10">
        <v>67</v>
      </c>
      <c r="BD230" s="10">
        <v>1</v>
      </c>
      <c r="BE230" s="10">
        <v>0</v>
      </c>
      <c r="BF230" s="10">
        <v>24</v>
      </c>
      <c r="BG230" s="10">
        <v>18</v>
      </c>
      <c r="BH230" s="10">
        <v>2</v>
      </c>
      <c r="BI230" s="10">
        <v>0</v>
      </c>
      <c r="BJ230" s="10">
        <v>2</v>
      </c>
      <c r="BK230" s="10">
        <v>0</v>
      </c>
      <c r="BL230" s="10">
        <v>0</v>
      </c>
      <c r="BM230" s="10">
        <v>0</v>
      </c>
      <c r="BN230" s="10">
        <v>1</v>
      </c>
      <c r="BO230" s="10">
        <v>3</v>
      </c>
      <c r="BP230" s="10">
        <v>0</v>
      </c>
      <c r="BQ230" s="10">
        <v>0</v>
      </c>
      <c r="BR230" s="10">
        <v>2</v>
      </c>
      <c r="BS230" s="10">
        <v>53</v>
      </c>
    </row>
    <row r="231" spans="1:71" x14ac:dyDescent="0.55000000000000004">
      <c r="A231" s="10">
        <v>319</v>
      </c>
      <c r="B231" s="10">
        <v>2022</v>
      </c>
      <c r="C231" s="10">
        <v>5919</v>
      </c>
      <c r="D231" s="10">
        <v>45308</v>
      </c>
      <c r="E231" s="10">
        <v>0</v>
      </c>
      <c r="F231" s="10">
        <v>10192</v>
      </c>
      <c r="G231" s="10">
        <v>92</v>
      </c>
      <c r="H231" s="10">
        <v>0</v>
      </c>
      <c r="I231" s="10">
        <v>23724</v>
      </c>
      <c r="J231" s="10">
        <v>0</v>
      </c>
      <c r="K231" s="10">
        <v>0</v>
      </c>
      <c r="L231" s="10">
        <v>4318</v>
      </c>
      <c r="M231" s="10">
        <v>2916</v>
      </c>
      <c r="N231" s="10">
        <v>1255</v>
      </c>
      <c r="O231" s="10">
        <v>3567</v>
      </c>
      <c r="P231" s="10">
        <v>19878</v>
      </c>
      <c r="Q231" s="10">
        <v>5934</v>
      </c>
      <c r="R231" s="10">
        <v>5937</v>
      </c>
      <c r="S231" s="10">
        <v>115189</v>
      </c>
      <c r="T231" s="10">
        <v>13851</v>
      </c>
      <c r="U231" s="10">
        <v>22.011995269471196</v>
      </c>
      <c r="V231" s="10">
        <v>27.0065330625938</v>
      </c>
      <c r="W231" s="10">
        <v>29.258772632590933</v>
      </c>
      <c r="X231" s="10">
        <v>0</v>
      </c>
      <c r="Y231" s="10">
        <v>30.468504709576138</v>
      </c>
      <c r="Z231" s="10">
        <v>13.326086956521738</v>
      </c>
      <c r="AA231" s="10">
        <v>0</v>
      </c>
      <c r="AB231" s="10">
        <v>32.802099140111281</v>
      </c>
      <c r="AC231" s="10">
        <v>50.384426229508193</v>
      </c>
      <c r="AD231" s="10">
        <v>0</v>
      </c>
      <c r="AE231" s="10">
        <v>25.315192218619732</v>
      </c>
      <c r="AF231" s="10">
        <v>46.103223593964337</v>
      </c>
      <c r="AG231" s="10">
        <v>35.42549800796813</v>
      </c>
      <c r="AH231" s="10">
        <v>27.909728062797871</v>
      </c>
      <c r="AI231" s="10">
        <v>42.888218130596641</v>
      </c>
      <c r="AJ231" s="10">
        <v>61.036697247706421</v>
      </c>
      <c r="AK231" s="10">
        <v>27.967981125716211</v>
      </c>
      <c r="AL231" s="10">
        <v>23.456291056088933</v>
      </c>
      <c r="AM231" s="10">
        <v>0</v>
      </c>
      <c r="AN231" s="10">
        <v>3</v>
      </c>
      <c r="AO231" s="10">
        <v>4</v>
      </c>
      <c r="AP231" s="10">
        <v>12</v>
      </c>
      <c r="AQ231" s="10">
        <v>0</v>
      </c>
      <c r="AR231" s="10">
        <v>0</v>
      </c>
      <c r="AS231" s="10">
        <v>0</v>
      </c>
      <c r="AT231" s="10">
        <v>8</v>
      </c>
      <c r="AU231" s="10">
        <v>1</v>
      </c>
      <c r="AV231" s="10">
        <v>0</v>
      </c>
      <c r="AW231" s="10">
        <v>1</v>
      </c>
      <c r="AX231" s="10">
        <v>5</v>
      </c>
      <c r="AY231" s="10">
        <v>0</v>
      </c>
      <c r="AZ231" s="10">
        <v>3</v>
      </c>
      <c r="BA231" s="10">
        <v>2</v>
      </c>
      <c r="BB231" s="10">
        <v>2</v>
      </c>
      <c r="BC231" s="10">
        <v>41</v>
      </c>
      <c r="BD231" s="10">
        <v>0</v>
      </c>
      <c r="BE231" s="10">
        <v>0</v>
      </c>
      <c r="BF231" s="10">
        <v>8</v>
      </c>
      <c r="BG231" s="10">
        <v>0</v>
      </c>
      <c r="BH231" s="10">
        <v>0</v>
      </c>
      <c r="BI231" s="10">
        <v>0</v>
      </c>
      <c r="BJ231" s="10">
        <v>2</v>
      </c>
      <c r="BK231" s="10">
        <v>0</v>
      </c>
      <c r="BL231" s="10">
        <v>0</v>
      </c>
      <c r="BM231" s="10">
        <v>0</v>
      </c>
      <c r="BN231" s="10">
        <v>0</v>
      </c>
      <c r="BO231" s="10">
        <v>1</v>
      </c>
      <c r="BP231" s="10">
        <v>6</v>
      </c>
      <c r="BQ231" s="10">
        <v>0</v>
      </c>
      <c r="BR231" s="10">
        <v>0</v>
      </c>
      <c r="BS231" s="10">
        <v>17</v>
      </c>
    </row>
    <row r="232" spans="1:71" x14ac:dyDescent="0.55000000000000004">
      <c r="A232" s="10">
        <v>461</v>
      </c>
      <c r="B232" s="10">
        <v>2022</v>
      </c>
      <c r="C232" s="10">
        <v>6090</v>
      </c>
      <c r="D232" s="10">
        <v>45440</v>
      </c>
      <c r="E232" s="10">
        <v>22040</v>
      </c>
      <c r="F232" s="10">
        <v>4552</v>
      </c>
      <c r="G232" s="10">
        <v>4898</v>
      </c>
      <c r="H232" s="10">
        <v>3926</v>
      </c>
      <c r="I232" s="10">
        <v>12414</v>
      </c>
      <c r="J232" s="10">
        <v>372</v>
      </c>
      <c r="K232" s="10">
        <v>0</v>
      </c>
      <c r="L232" s="10">
        <v>2419</v>
      </c>
      <c r="M232" s="10">
        <v>7126</v>
      </c>
      <c r="N232" s="10">
        <v>0</v>
      </c>
      <c r="O232" s="10">
        <v>4751</v>
      </c>
      <c r="P232" s="10">
        <v>6383</v>
      </c>
      <c r="Q232" s="10">
        <v>785</v>
      </c>
      <c r="R232" s="10">
        <v>2528</v>
      </c>
      <c r="S232" s="10">
        <v>83557</v>
      </c>
      <c r="T232" s="10">
        <v>40167</v>
      </c>
      <c r="U232" s="10">
        <v>14.547290640394088</v>
      </c>
      <c r="V232" s="10">
        <v>17.091307218309861</v>
      </c>
      <c r="W232" s="10">
        <v>35.918303785337805</v>
      </c>
      <c r="X232" s="10">
        <v>14.003266787658802</v>
      </c>
      <c r="Y232" s="10">
        <v>34.219683655536031</v>
      </c>
      <c r="Z232" s="10">
        <v>12.839730502245816</v>
      </c>
      <c r="AA232" s="10">
        <v>14.758023433520123</v>
      </c>
      <c r="AB232" s="10">
        <v>24.435153858546801</v>
      </c>
      <c r="AC232" s="10">
        <v>50.311932698693823</v>
      </c>
      <c r="AD232" s="10">
        <v>0</v>
      </c>
      <c r="AE232" s="10">
        <v>23.252997106242248</v>
      </c>
      <c r="AF232" s="10">
        <v>36.176115632893634</v>
      </c>
      <c r="AG232" s="10">
        <v>0</v>
      </c>
      <c r="AH232" s="10">
        <v>22.948221427067985</v>
      </c>
      <c r="AI232" s="10">
        <v>31.785054049819834</v>
      </c>
      <c r="AJ232" s="10">
        <v>62.39007092198581</v>
      </c>
      <c r="AK232" s="10">
        <v>34.543949044585986</v>
      </c>
      <c r="AL232" s="10">
        <v>17.66099683544304</v>
      </c>
      <c r="AM232" s="10">
        <v>0</v>
      </c>
      <c r="AN232" s="10">
        <v>3</v>
      </c>
      <c r="AO232" s="10">
        <v>2</v>
      </c>
      <c r="AP232" s="10">
        <v>15</v>
      </c>
      <c r="AQ232" s="10">
        <v>9</v>
      </c>
      <c r="AR232" s="10">
        <v>0</v>
      </c>
      <c r="AS232" s="10">
        <v>2</v>
      </c>
      <c r="AT232" s="10">
        <v>5</v>
      </c>
      <c r="AU232" s="10">
        <v>5</v>
      </c>
      <c r="AV232" s="10">
        <v>0</v>
      </c>
      <c r="AW232" s="10">
        <v>1</v>
      </c>
      <c r="AX232" s="10">
        <v>3</v>
      </c>
      <c r="AY232" s="10">
        <v>0</v>
      </c>
      <c r="AZ232" s="10">
        <v>1</v>
      </c>
      <c r="BA232" s="10">
        <v>2</v>
      </c>
      <c r="BB232" s="10">
        <v>1</v>
      </c>
      <c r="BC232" s="10">
        <v>49</v>
      </c>
      <c r="BD232" s="10">
        <v>0</v>
      </c>
      <c r="BE232" s="10">
        <v>0</v>
      </c>
      <c r="BF232" s="10">
        <v>7</v>
      </c>
      <c r="BG232" s="10">
        <v>3</v>
      </c>
      <c r="BH232" s="10">
        <v>0</v>
      </c>
      <c r="BI232" s="10">
        <v>1</v>
      </c>
      <c r="BJ232" s="10">
        <v>0</v>
      </c>
      <c r="BK232" s="10">
        <v>0</v>
      </c>
      <c r="BL232" s="10">
        <v>0</v>
      </c>
      <c r="BM232" s="10">
        <v>0</v>
      </c>
      <c r="BN232" s="10">
        <v>1</v>
      </c>
      <c r="BO232" s="10">
        <v>0</v>
      </c>
      <c r="BP232" s="10">
        <v>0</v>
      </c>
      <c r="BQ232" s="10">
        <v>0</v>
      </c>
      <c r="BR232" s="10">
        <v>2</v>
      </c>
      <c r="BS232" s="10">
        <v>14</v>
      </c>
    </row>
    <row r="233" spans="1:71" x14ac:dyDescent="0.55000000000000004">
      <c r="A233" s="10">
        <v>514</v>
      </c>
      <c r="B233" s="10">
        <v>2022</v>
      </c>
      <c r="C233" s="10">
        <v>4574</v>
      </c>
      <c r="D233" s="10">
        <v>45441</v>
      </c>
      <c r="E233" s="10">
        <v>12499</v>
      </c>
      <c r="F233" s="10">
        <v>9199</v>
      </c>
      <c r="G233" s="10">
        <v>5152</v>
      </c>
      <c r="H233" s="10">
        <v>5376</v>
      </c>
      <c r="I233" s="10">
        <v>8369</v>
      </c>
      <c r="J233" s="10">
        <v>0</v>
      </c>
      <c r="K233" s="10">
        <v>0</v>
      </c>
      <c r="L233" s="10">
        <v>3791</v>
      </c>
      <c r="M233" s="10">
        <v>7283</v>
      </c>
      <c r="N233" s="10">
        <v>0</v>
      </c>
      <c r="O233" s="10">
        <v>4209</v>
      </c>
      <c r="P233" s="10">
        <v>16538</v>
      </c>
      <c r="Q233" s="10">
        <v>2130</v>
      </c>
      <c r="R233" s="10">
        <v>6750</v>
      </c>
      <c r="S233" s="10">
        <v>94876</v>
      </c>
      <c r="T233" s="10">
        <v>36435</v>
      </c>
      <c r="U233" s="10">
        <v>16.931788369042412</v>
      </c>
      <c r="V233" s="10">
        <v>21.005963777205608</v>
      </c>
      <c r="W233" s="10">
        <v>31.445205479452056</v>
      </c>
      <c r="X233" s="10">
        <v>18.4531562525002</v>
      </c>
      <c r="Y233" s="10">
        <v>23.623328622676379</v>
      </c>
      <c r="Z233" s="10">
        <v>16.875776397515526</v>
      </c>
      <c r="AA233" s="10">
        <v>5.4867931547619051</v>
      </c>
      <c r="AB233" s="10">
        <v>18.965706775002985</v>
      </c>
      <c r="AC233" s="10">
        <v>0</v>
      </c>
      <c r="AD233" s="10">
        <v>0</v>
      </c>
      <c r="AE233" s="10">
        <v>0</v>
      </c>
      <c r="AF233" s="10">
        <v>46.294246876287247</v>
      </c>
      <c r="AG233" s="10">
        <v>0</v>
      </c>
      <c r="AH233" s="10">
        <v>21.519125683060111</v>
      </c>
      <c r="AI233" s="10">
        <v>41.006288547587374</v>
      </c>
      <c r="AJ233" s="10">
        <v>0</v>
      </c>
      <c r="AK233" s="10">
        <v>19.969014084507041</v>
      </c>
      <c r="AL233" s="10">
        <v>24.482962962962961</v>
      </c>
      <c r="AM233" s="10">
        <v>0</v>
      </c>
      <c r="AN233" s="10">
        <v>2</v>
      </c>
      <c r="AO233" s="10">
        <v>4</v>
      </c>
      <c r="AP233" s="10">
        <v>8</v>
      </c>
      <c r="AQ233" s="10">
        <v>5</v>
      </c>
      <c r="AR233" s="10">
        <v>0</v>
      </c>
      <c r="AS233" s="10">
        <v>0</v>
      </c>
      <c r="AT233" s="10">
        <v>1</v>
      </c>
      <c r="AU233" s="10">
        <v>1</v>
      </c>
      <c r="AV233" s="10">
        <v>0</v>
      </c>
      <c r="AW233" s="10">
        <v>2</v>
      </c>
      <c r="AX233" s="10">
        <v>5</v>
      </c>
      <c r="AY233" s="10">
        <v>2</v>
      </c>
      <c r="AZ233" s="10">
        <v>4</v>
      </c>
      <c r="BA233" s="10">
        <v>1</v>
      </c>
      <c r="BB233" s="10">
        <v>2</v>
      </c>
      <c r="BC233" s="10">
        <v>37</v>
      </c>
      <c r="BD233" s="10">
        <v>2</v>
      </c>
      <c r="BE233" s="10">
        <v>1</v>
      </c>
      <c r="BF233" s="10">
        <v>21</v>
      </c>
      <c r="BG233" s="10">
        <v>5</v>
      </c>
      <c r="BH233" s="10">
        <v>0</v>
      </c>
      <c r="BI233" s="10">
        <v>1</v>
      </c>
      <c r="BJ233" s="10">
        <v>2</v>
      </c>
      <c r="BK233" s="10">
        <v>0</v>
      </c>
      <c r="BL233" s="10">
        <v>0</v>
      </c>
      <c r="BM233" s="10">
        <v>0</v>
      </c>
      <c r="BN233" s="10">
        <v>0</v>
      </c>
      <c r="BO233" s="10">
        <v>2</v>
      </c>
      <c r="BP233" s="10">
        <v>1</v>
      </c>
      <c r="BQ233" s="10">
        <v>0</v>
      </c>
      <c r="BR233" s="10">
        <v>0</v>
      </c>
      <c r="BS233" s="10">
        <v>35</v>
      </c>
    </row>
    <row r="234" spans="1:71" x14ac:dyDescent="0.55000000000000004">
      <c r="A234" s="10">
        <v>365</v>
      </c>
      <c r="B234" s="10">
        <v>2022</v>
      </c>
      <c r="C234" s="10">
        <v>5023</v>
      </c>
      <c r="D234" s="10">
        <v>45589</v>
      </c>
      <c r="E234" s="10">
        <v>25484</v>
      </c>
      <c r="F234" s="10">
        <v>10927</v>
      </c>
      <c r="G234" s="10">
        <v>5642</v>
      </c>
      <c r="H234" s="10">
        <v>3486</v>
      </c>
      <c r="I234" s="10">
        <v>27205</v>
      </c>
      <c r="J234" s="10">
        <v>0</v>
      </c>
      <c r="K234" s="10">
        <v>0</v>
      </c>
      <c r="L234" s="10">
        <v>5934</v>
      </c>
      <c r="M234" s="10">
        <v>5233</v>
      </c>
      <c r="N234" s="10">
        <v>4709</v>
      </c>
      <c r="O234" s="10">
        <v>6608</v>
      </c>
      <c r="P234" s="10">
        <v>14279</v>
      </c>
      <c r="Q234" s="10">
        <v>4885</v>
      </c>
      <c r="R234" s="10">
        <v>9091</v>
      </c>
      <c r="S234" s="10">
        <v>121948</v>
      </c>
      <c r="T234" s="10">
        <v>52147</v>
      </c>
      <c r="U234" s="10">
        <v>18.628508859247461</v>
      </c>
      <c r="V234" s="10">
        <v>23.059027396959792</v>
      </c>
      <c r="W234" s="10">
        <v>31.08631433187168</v>
      </c>
      <c r="X234" s="10">
        <v>9.5379453774917593</v>
      </c>
      <c r="Y234" s="10">
        <v>24.013086849089412</v>
      </c>
      <c r="Z234" s="10">
        <v>17.717830556540235</v>
      </c>
      <c r="AA234" s="10">
        <v>15.911359724612735</v>
      </c>
      <c r="AB234" s="10">
        <v>33.24238191508914</v>
      </c>
      <c r="AC234" s="10">
        <v>54.121951219512198</v>
      </c>
      <c r="AD234" s="10">
        <v>0</v>
      </c>
      <c r="AE234" s="10">
        <v>24.423828783282776</v>
      </c>
      <c r="AF234" s="10">
        <v>39.602331358685262</v>
      </c>
      <c r="AG234" s="10">
        <v>28.754937354002973</v>
      </c>
      <c r="AH234" s="10">
        <v>15.316737288135592</v>
      </c>
      <c r="AI234" s="10">
        <v>37.990335457665104</v>
      </c>
      <c r="AJ234" s="10">
        <v>55.841463414634148</v>
      </c>
      <c r="AK234" s="10">
        <v>26.402865916069597</v>
      </c>
      <c r="AL234" s="10">
        <v>23.355076449235508</v>
      </c>
      <c r="AM234" s="10">
        <v>0</v>
      </c>
      <c r="AN234" s="10">
        <v>4</v>
      </c>
      <c r="AO234" s="10">
        <v>2</v>
      </c>
      <c r="AP234" s="10">
        <v>8</v>
      </c>
      <c r="AQ234" s="10">
        <v>9</v>
      </c>
      <c r="AR234" s="10">
        <v>3</v>
      </c>
      <c r="AS234" s="10">
        <v>1</v>
      </c>
      <c r="AT234" s="10">
        <v>10</v>
      </c>
      <c r="AU234" s="10">
        <v>3</v>
      </c>
      <c r="AV234" s="10">
        <v>0</v>
      </c>
      <c r="AW234" s="10">
        <v>2</v>
      </c>
      <c r="AX234" s="10">
        <v>3</v>
      </c>
      <c r="AY234" s="10">
        <v>1</v>
      </c>
      <c r="AZ234" s="10">
        <v>4</v>
      </c>
      <c r="BA234" s="10">
        <v>2</v>
      </c>
      <c r="BB234" s="10">
        <v>0</v>
      </c>
      <c r="BC234" s="10">
        <v>52</v>
      </c>
      <c r="BD234" s="10">
        <v>2</v>
      </c>
      <c r="BE234" s="10">
        <v>0</v>
      </c>
      <c r="BF234" s="10">
        <v>6</v>
      </c>
      <c r="BG234" s="10">
        <v>12</v>
      </c>
      <c r="BH234" s="10">
        <v>0</v>
      </c>
      <c r="BI234" s="10">
        <v>1</v>
      </c>
      <c r="BJ234" s="10">
        <v>0</v>
      </c>
      <c r="BK234" s="10">
        <v>0</v>
      </c>
      <c r="BL234" s="10">
        <v>0</v>
      </c>
      <c r="BM234" s="10">
        <v>0</v>
      </c>
      <c r="BN234" s="10">
        <v>0</v>
      </c>
      <c r="BO234" s="10">
        <v>1</v>
      </c>
      <c r="BP234" s="10">
        <v>3</v>
      </c>
      <c r="BQ234" s="10">
        <v>0</v>
      </c>
      <c r="BR234" s="10">
        <v>1</v>
      </c>
      <c r="BS234" s="10">
        <v>26</v>
      </c>
    </row>
    <row r="235" spans="1:71" x14ac:dyDescent="0.55000000000000004">
      <c r="A235" s="10">
        <v>890</v>
      </c>
      <c r="B235" s="10">
        <v>2022</v>
      </c>
      <c r="C235" s="10">
        <v>14369</v>
      </c>
      <c r="D235" s="10">
        <v>45681</v>
      </c>
      <c r="E235" s="10">
        <v>27249</v>
      </c>
      <c r="F235" s="10">
        <v>1877</v>
      </c>
      <c r="G235" s="10">
        <v>3213</v>
      </c>
      <c r="H235" s="10">
        <v>0</v>
      </c>
      <c r="I235" s="10">
        <v>8342</v>
      </c>
      <c r="J235" s="10">
        <v>0</v>
      </c>
      <c r="K235" s="10">
        <v>0</v>
      </c>
      <c r="L235" s="10">
        <v>2101</v>
      </c>
      <c r="M235" s="10">
        <v>5186</v>
      </c>
      <c r="N235" s="10">
        <v>0</v>
      </c>
      <c r="O235" s="10">
        <v>0</v>
      </c>
      <c r="P235" s="10">
        <v>12825</v>
      </c>
      <c r="Q235" s="10">
        <v>2091</v>
      </c>
      <c r="R235" s="10">
        <v>1067</v>
      </c>
      <c r="S235" s="10">
        <v>91662</v>
      </c>
      <c r="T235" s="10">
        <v>32339</v>
      </c>
      <c r="U235" s="10">
        <v>21.633516598232305</v>
      </c>
      <c r="V235" s="10">
        <v>23.727304568639038</v>
      </c>
      <c r="W235" s="10">
        <v>35.031746031746032</v>
      </c>
      <c r="X235" s="10">
        <v>20.331828690961135</v>
      </c>
      <c r="Y235" s="10">
        <v>0.70218433670751201</v>
      </c>
      <c r="Z235" s="10">
        <v>15.571117335823217</v>
      </c>
      <c r="AA235" s="10">
        <v>0</v>
      </c>
      <c r="AB235" s="10">
        <v>32.97506593143131</v>
      </c>
      <c r="AC235" s="10">
        <v>51</v>
      </c>
      <c r="AD235" s="10">
        <v>0</v>
      </c>
      <c r="AE235" s="10">
        <v>24.222751070918612</v>
      </c>
      <c r="AF235" s="10">
        <v>30.861550327805631</v>
      </c>
      <c r="AG235" s="10">
        <v>0</v>
      </c>
      <c r="AH235" s="10">
        <v>0</v>
      </c>
      <c r="AI235" s="10">
        <v>51.950799220272906</v>
      </c>
      <c r="AJ235" s="10">
        <v>61.322463768115945</v>
      </c>
      <c r="AK235" s="10">
        <v>31.813008130081304</v>
      </c>
      <c r="AL235" s="10">
        <v>-2.9756326148078727</v>
      </c>
      <c r="AM235" s="10">
        <v>0</v>
      </c>
      <c r="AN235" s="10">
        <v>5</v>
      </c>
      <c r="AO235" s="10">
        <v>1</v>
      </c>
      <c r="AP235" s="10">
        <v>11</v>
      </c>
      <c r="AQ235" s="10">
        <v>10</v>
      </c>
      <c r="AR235" s="10">
        <v>2</v>
      </c>
      <c r="AS235" s="10">
        <v>0</v>
      </c>
      <c r="AT235" s="10">
        <v>3</v>
      </c>
      <c r="AU235" s="10">
        <v>0</v>
      </c>
      <c r="AV235" s="10">
        <v>0</v>
      </c>
      <c r="AW235" s="10">
        <v>1</v>
      </c>
      <c r="AX235" s="10">
        <v>1</v>
      </c>
      <c r="AY235" s="10">
        <v>0</v>
      </c>
      <c r="AZ235" s="10">
        <v>5</v>
      </c>
      <c r="BA235" s="10">
        <v>1</v>
      </c>
      <c r="BB235" s="10">
        <v>1</v>
      </c>
      <c r="BC235" s="10">
        <v>41</v>
      </c>
      <c r="BD235" s="10">
        <v>6</v>
      </c>
      <c r="BE235" s="10">
        <v>0</v>
      </c>
      <c r="BF235" s="10">
        <v>9</v>
      </c>
      <c r="BG235" s="10">
        <v>5</v>
      </c>
      <c r="BH235" s="10">
        <v>1</v>
      </c>
      <c r="BI235" s="10">
        <v>0</v>
      </c>
      <c r="BJ235" s="10">
        <v>0</v>
      </c>
      <c r="BK235" s="10">
        <v>0</v>
      </c>
      <c r="BL235" s="10">
        <v>0</v>
      </c>
      <c r="BM235" s="10">
        <v>0</v>
      </c>
      <c r="BN235" s="10">
        <v>0</v>
      </c>
      <c r="BO235" s="10">
        <v>0</v>
      </c>
      <c r="BP235" s="10">
        <v>6</v>
      </c>
      <c r="BQ235" s="10">
        <v>0</v>
      </c>
      <c r="BR235" s="10">
        <v>3</v>
      </c>
      <c r="BS235" s="10">
        <v>30</v>
      </c>
    </row>
    <row r="236" spans="1:71" x14ac:dyDescent="0.55000000000000004">
      <c r="A236" s="10">
        <v>817</v>
      </c>
      <c r="B236" s="10">
        <v>2022</v>
      </c>
      <c r="C236" s="10">
        <v>4860</v>
      </c>
      <c r="D236" s="10">
        <v>45918</v>
      </c>
      <c r="E236" s="10">
        <v>17818</v>
      </c>
      <c r="F236" s="10">
        <v>9977</v>
      </c>
      <c r="G236" s="10">
        <v>9467</v>
      </c>
      <c r="H236" s="10">
        <v>1081</v>
      </c>
      <c r="I236" s="10">
        <v>8110</v>
      </c>
      <c r="J236" s="10">
        <v>766</v>
      </c>
      <c r="K236" s="10">
        <v>0</v>
      </c>
      <c r="L236" s="10">
        <v>6739</v>
      </c>
      <c r="M236" s="10">
        <v>9770</v>
      </c>
      <c r="N236" s="10">
        <v>1456</v>
      </c>
      <c r="O236" s="10">
        <v>2293</v>
      </c>
      <c r="P236" s="10">
        <v>19784</v>
      </c>
      <c r="Q236" s="10">
        <v>6325</v>
      </c>
      <c r="R236" s="10">
        <v>2661</v>
      </c>
      <c r="S236" s="10">
        <v>106389</v>
      </c>
      <c r="T236" s="10">
        <v>40636</v>
      </c>
      <c r="U236" s="10">
        <v>23.55925925925926</v>
      </c>
      <c r="V236" s="10">
        <v>21.970077093950085</v>
      </c>
      <c r="W236" s="10">
        <v>33.746173811867898</v>
      </c>
      <c r="X236" s="10">
        <v>20.358233247278033</v>
      </c>
      <c r="Y236" s="10">
        <v>42.158264007216594</v>
      </c>
      <c r="Z236" s="10">
        <v>18.51114397380374</v>
      </c>
      <c r="AA236" s="10">
        <v>12.415356151711379</v>
      </c>
      <c r="AB236" s="10">
        <v>33.974352651048086</v>
      </c>
      <c r="AC236" s="10">
        <v>49.920826161790018</v>
      </c>
      <c r="AD236" s="10">
        <v>0</v>
      </c>
      <c r="AE236" s="10">
        <v>22.507493693426323</v>
      </c>
      <c r="AF236" s="10">
        <v>43.739406345957008</v>
      </c>
      <c r="AG236" s="10">
        <v>29.476648351648354</v>
      </c>
      <c r="AH236" s="10">
        <v>19.834278238116003</v>
      </c>
      <c r="AI236" s="10">
        <v>40.570309340881515</v>
      </c>
      <c r="AJ236" s="10">
        <v>61.802367856809916</v>
      </c>
      <c r="AK236" s="10">
        <v>30.147509881422927</v>
      </c>
      <c r="AL236" s="10">
        <v>25.019165727170236</v>
      </c>
      <c r="AM236" s="10">
        <v>37.887323943661968</v>
      </c>
      <c r="AN236" s="10">
        <v>2</v>
      </c>
      <c r="AO236" s="10">
        <v>6</v>
      </c>
      <c r="AP236" s="10">
        <v>15</v>
      </c>
      <c r="AQ236" s="10">
        <v>1</v>
      </c>
      <c r="AR236" s="10">
        <v>3</v>
      </c>
      <c r="AS236" s="10">
        <v>1</v>
      </c>
      <c r="AT236" s="10">
        <v>5</v>
      </c>
      <c r="AU236" s="10">
        <v>2</v>
      </c>
      <c r="AV236" s="10">
        <v>0</v>
      </c>
      <c r="AW236" s="10">
        <v>4</v>
      </c>
      <c r="AX236" s="10">
        <v>4</v>
      </c>
      <c r="AY236" s="10">
        <v>1</v>
      </c>
      <c r="AZ236" s="10">
        <v>7</v>
      </c>
      <c r="BA236" s="10">
        <v>3</v>
      </c>
      <c r="BB236" s="10">
        <v>1</v>
      </c>
      <c r="BC236" s="10">
        <v>55</v>
      </c>
      <c r="BD236" s="10">
        <v>0</v>
      </c>
      <c r="BE236" s="10">
        <v>0</v>
      </c>
      <c r="BF236" s="10">
        <v>4</v>
      </c>
      <c r="BG236" s="10">
        <v>0</v>
      </c>
      <c r="BH236" s="10">
        <v>0</v>
      </c>
      <c r="BI236" s="10">
        <v>0</v>
      </c>
      <c r="BJ236" s="10">
        <v>0</v>
      </c>
      <c r="BK236" s="10">
        <v>0</v>
      </c>
      <c r="BL236" s="10">
        <v>0</v>
      </c>
      <c r="BM236" s="10">
        <v>0</v>
      </c>
      <c r="BN236" s="10">
        <v>0</v>
      </c>
      <c r="BO236" s="10">
        <v>0</v>
      </c>
      <c r="BP236" s="10">
        <v>5</v>
      </c>
      <c r="BQ236" s="10">
        <v>0</v>
      </c>
      <c r="BR236" s="10">
        <v>2</v>
      </c>
      <c r="BS236" s="10">
        <v>11</v>
      </c>
    </row>
    <row r="237" spans="1:71" x14ac:dyDescent="0.55000000000000004">
      <c r="A237" s="10">
        <v>236</v>
      </c>
      <c r="B237" s="10">
        <v>2022</v>
      </c>
      <c r="C237" s="10">
        <v>10353</v>
      </c>
      <c r="D237" s="10">
        <v>46031</v>
      </c>
      <c r="E237" s="10">
        <v>25791</v>
      </c>
      <c r="F237" s="10">
        <v>9219</v>
      </c>
      <c r="G237" s="10">
        <v>13402</v>
      </c>
      <c r="H237" s="10">
        <v>8040</v>
      </c>
      <c r="I237" s="10">
        <v>19182</v>
      </c>
      <c r="J237" s="10">
        <v>0</v>
      </c>
      <c r="K237" s="10">
        <v>0</v>
      </c>
      <c r="L237" s="10">
        <v>4234</v>
      </c>
      <c r="M237" s="10">
        <v>7435</v>
      </c>
      <c r="N237" s="10">
        <v>80</v>
      </c>
      <c r="O237" s="10">
        <v>6497</v>
      </c>
      <c r="P237" s="10">
        <v>6514</v>
      </c>
      <c r="Q237" s="10">
        <v>2202</v>
      </c>
      <c r="R237" s="10">
        <v>5132</v>
      </c>
      <c r="S237" s="10">
        <v>101163</v>
      </c>
      <c r="T237" s="10">
        <v>62949</v>
      </c>
      <c r="U237" s="10">
        <v>18.258379213754466</v>
      </c>
      <c r="V237" s="10">
        <v>25.00471421433382</v>
      </c>
      <c r="W237" s="10">
        <v>36.994196428571428</v>
      </c>
      <c r="X237" s="10">
        <v>19.22996394090962</v>
      </c>
      <c r="Y237" s="10">
        <v>30.477058249267817</v>
      </c>
      <c r="Z237" s="10">
        <v>16.215639456797494</v>
      </c>
      <c r="AA237" s="10">
        <v>16.42412935323383</v>
      </c>
      <c r="AB237" s="10">
        <v>30.579345219476593</v>
      </c>
      <c r="AC237" s="10">
        <v>52.610691003911342</v>
      </c>
      <c r="AD237" s="10">
        <v>0</v>
      </c>
      <c r="AE237" s="10">
        <v>21.18894662257912</v>
      </c>
      <c r="AF237" s="10">
        <v>41.909347679892406</v>
      </c>
      <c r="AG237" s="10">
        <v>14.875</v>
      </c>
      <c r="AH237" s="10">
        <v>23.734954594428199</v>
      </c>
      <c r="AI237" s="10">
        <v>37.69527172244397</v>
      </c>
      <c r="AJ237" s="10">
        <v>61.744117647058822</v>
      </c>
      <c r="AK237" s="10">
        <v>30.413714804722982</v>
      </c>
      <c r="AL237" s="10">
        <v>23.422057677318783</v>
      </c>
      <c r="AM237" s="10">
        <v>0</v>
      </c>
      <c r="AN237" s="10">
        <v>3</v>
      </c>
      <c r="AO237" s="10">
        <v>4</v>
      </c>
      <c r="AP237" s="10">
        <v>10</v>
      </c>
      <c r="AQ237" s="10">
        <v>11</v>
      </c>
      <c r="AR237" s="10">
        <v>7</v>
      </c>
      <c r="AS237" s="10">
        <v>3</v>
      </c>
      <c r="AT237" s="10">
        <v>9</v>
      </c>
      <c r="AU237" s="10">
        <v>3</v>
      </c>
      <c r="AV237" s="10">
        <v>0</v>
      </c>
      <c r="AW237" s="10">
        <v>2</v>
      </c>
      <c r="AX237" s="10">
        <v>4</v>
      </c>
      <c r="AY237" s="10">
        <v>0</v>
      </c>
      <c r="AZ237" s="10">
        <v>2</v>
      </c>
      <c r="BA237" s="10">
        <v>1</v>
      </c>
      <c r="BB237" s="10">
        <v>1</v>
      </c>
      <c r="BC237" s="10">
        <v>60</v>
      </c>
      <c r="BD237" s="10">
        <v>2</v>
      </c>
      <c r="BE237" s="10">
        <v>0</v>
      </c>
      <c r="BF237" s="10">
        <v>16</v>
      </c>
      <c r="BG237" s="10">
        <v>13</v>
      </c>
      <c r="BH237" s="10">
        <v>0</v>
      </c>
      <c r="BI237" s="10">
        <v>0</v>
      </c>
      <c r="BJ237" s="10">
        <v>1</v>
      </c>
      <c r="BK237" s="10">
        <v>0</v>
      </c>
      <c r="BL237" s="10">
        <v>0</v>
      </c>
      <c r="BM237" s="10">
        <v>0</v>
      </c>
      <c r="BN237" s="10">
        <v>0</v>
      </c>
      <c r="BO237" s="10">
        <v>0</v>
      </c>
      <c r="BP237" s="10">
        <v>1</v>
      </c>
      <c r="BQ237" s="10">
        <v>0</v>
      </c>
      <c r="BR237" s="10">
        <v>0</v>
      </c>
      <c r="BS237" s="10">
        <v>33</v>
      </c>
    </row>
    <row r="238" spans="1:71" x14ac:dyDescent="0.55000000000000004">
      <c r="A238" s="10">
        <v>526</v>
      </c>
      <c r="B238" s="10">
        <v>2022</v>
      </c>
      <c r="C238" s="10">
        <v>2785</v>
      </c>
      <c r="D238" s="10">
        <v>46065</v>
      </c>
      <c r="E238" s="10">
        <v>0</v>
      </c>
      <c r="F238" s="10">
        <v>6080</v>
      </c>
      <c r="G238" s="10">
        <v>0</v>
      </c>
      <c r="H238" s="10">
        <v>0</v>
      </c>
      <c r="I238" s="10">
        <v>9438</v>
      </c>
      <c r="J238" s="10">
        <v>0</v>
      </c>
      <c r="K238" s="10">
        <v>0</v>
      </c>
      <c r="L238" s="10">
        <v>3920</v>
      </c>
      <c r="M238" s="10">
        <v>2080</v>
      </c>
      <c r="N238" s="10">
        <v>0</v>
      </c>
      <c r="O238" s="10">
        <v>2673</v>
      </c>
      <c r="P238" s="10">
        <v>10794</v>
      </c>
      <c r="Q238" s="10">
        <v>1009</v>
      </c>
      <c r="R238" s="10">
        <v>0</v>
      </c>
      <c r="S238" s="10">
        <v>76091</v>
      </c>
      <c r="T238" s="10">
        <v>8753</v>
      </c>
      <c r="U238" s="10">
        <v>19.55834829443447</v>
      </c>
      <c r="V238" s="10">
        <v>24.544274394876805</v>
      </c>
      <c r="W238" s="10">
        <v>71.047337278106511</v>
      </c>
      <c r="X238" s="10">
        <v>0</v>
      </c>
      <c r="Y238" s="10">
        <v>36.778289473684211</v>
      </c>
      <c r="Z238" s="10">
        <v>0</v>
      </c>
      <c r="AA238" s="10">
        <v>0</v>
      </c>
      <c r="AB238" s="10">
        <v>41.718584445857175</v>
      </c>
      <c r="AC238" s="10">
        <v>53.329914529914532</v>
      </c>
      <c r="AD238" s="10">
        <v>0</v>
      </c>
      <c r="AE238" s="10">
        <v>28.155102040816328</v>
      </c>
      <c r="AF238" s="10">
        <v>57.476442307692302</v>
      </c>
      <c r="AG238" s="10">
        <v>0</v>
      </c>
      <c r="AH238" s="10">
        <v>19.797979797979796</v>
      </c>
      <c r="AI238" s="10">
        <v>50.932925699462665</v>
      </c>
      <c r="AJ238" s="10">
        <v>59.914205344585092</v>
      </c>
      <c r="AK238" s="10">
        <v>25.660059464816651</v>
      </c>
      <c r="AL238" s="10">
        <v>0</v>
      </c>
      <c r="AM238" s="10">
        <v>0</v>
      </c>
      <c r="AN238" s="10">
        <v>1</v>
      </c>
      <c r="AO238" s="10">
        <v>5</v>
      </c>
      <c r="AP238" s="10">
        <v>18</v>
      </c>
      <c r="AQ238" s="10">
        <v>0</v>
      </c>
      <c r="AR238" s="10">
        <v>0</v>
      </c>
      <c r="AS238" s="10">
        <v>0</v>
      </c>
      <c r="AT238" s="10">
        <v>7</v>
      </c>
      <c r="AU238" s="10">
        <v>1</v>
      </c>
      <c r="AV238" s="10">
        <v>0</v>
      </c>
      <c r="AW238" s="10">
        <v>1</v>
      </c>
      <c r="AX238" s="10">
        <v>1</v>
      </c>
      <c r="AY238" s="10">
        <v>1</v>
      </c>
      <c r="AZ238" s="10">
        <v>5</v>
      </c>
      <c r="BA238" s="10">
        <v>0</v>
      </c>
      <c r="BB238" s="10">
        <v>0</v>
      </c>
      <c r="BC238" s="10">
        <v>40</v>
      </c>
      <c r="BD238" s="10">
        <v>0</v>
      </c>
      <c r="BE238" s="10">
        <v>0</v>
      </c>
      <c r="BF238" s="10">
        <v>4</v>
      </c>
      <c r="BG238" s="10">
        <v>0</v>
      </c>
      <c r="BH238" s="10">
        <v>0</v>
      </c>
      <c r="BI238" s="10">
        <v>0</v>
      </c>
      <c r="BJ238" s="10">
        <v>4</v>
      </c>
      <c r="BK238" s="10">
        <v>0</v>
      </c>
      <c r="BL238" s="10">
        <v>0</v>
      </c>
      <c r="BM238" s="10">
        <v>0</v>
      </c>
      <c r="BN238" s="10">
        <v>0</v>
      </c>
      <c r="BO238" s="10">
        <v>0</v>
      </c>
      <c r="BP238" s="10">
        <v>6</v>
      </c>
      <c r="BQ238" s="10">
        <v>0</v>
      </c>
      <c r="BR238" s="10">
        <v>0</v>
      </c>
      <c r="BS238" s="10">
        <v>14</v>
      </c>
    </row>
    <row r="239" spans="1:71" x14ac:dyDescent="0.55000000000000004">
      <c r="A239" s="10">
        <v>914</v>
      </c>
      <c r="B239" s="10">
        <v>2022</v>
      </c>
      <c r="C239" s="10">
        <v>4325</v>
      </c>
      <c r="D239" s="10">
        <v>46345</v>
      </c>
      <c r="E239" s="10">
        <v>22097</v>
      </c>
      <c r="F239" s="10">
        <v>8253</v>
      </c>
      <c r="G239" s="10">
        <v>0</v>
      </c>
      <c r="H239" s="10">
        <v>0</v>
      </c>
      <c r="I239" s="10">
        <v>32667</v>
      </c>
      <c r="J239" s="10">
        <v>0</v>
      </c>
      <c r="K239" s="10">
        <v>0</v>
      </c>
      <c r="L239" s="10">
        <v>8313</v>
      </c>
      <c r="M239" s="10">
        <v>4313</v>
      </c>
      <c r="N239" s="10">
        <v>4622</v>
      </c>
      <c r="O239" s="10">
        <v>2144</v>
      </c>
      <c r="P239" s="10">
        <v>11725</v>
      </c>
      <c r="Q239" s="10">
        <v>5424</v>
      </c>
      <c r="R239" s="10">
        <v>0</v>
      </c>
      <c r="S239" s="10">
        <v>117734</v>
      </c>
      <c r="T239" s="10">
        <v>32494</v>
      </c>
      <c r="U239" s="10">
        <v>20.267514450867054</v>
      </c>
      <c r="V239" s="10">
        <v>21.751472650771387</v>
      </c>
      <c r="W239" s="10">
        <v>33.097767653758538</v>
      </c>
      <c r="X239" s="10">
        <v>18.572475901706113</v>
      </c>
      <c r="Y239" s="10">
        <v>39.434629831576402</v>
      </c>
      <c r="Z239" s="10">
        <v>0</v>
      </c>
      <c r="AA239" s="10">
        <v>0</v>
      </c>
      <c r="AB239" s="10">
        <v>32.83781798144917</v>
      </c>
      <c r="AC239" s="10">
        <v>49.841925701288851</v>
      </c>
      <c r="AD239" s="10">
        <v>0</v>
      </c>
      <c r="AE239" s="10">
        <v>22.181763502947192</v>
      </c>
      <c r="AF239" s="10">
        <v>39.271272895896125</v>
      </c>
      <c r="AG239" s="10">
        <v>0</v>
      </c>
      <c r="AH239" s="10">
        <v>26.447761194029852</v>
      </c>
      <c r="AI239" s="10">
        <v>38.779957356076757</v>
      </c>
      <c r="AJ239" s="10">
        <v>61.583009439200445</v>
      </c>
      <c r="AK239" s="10">
        <v>25.517330383480829</v>
      </c>
      <c r="AL239" s="10">
        <v>0</v>
      </c>
      <c r="AM239" s="10">
        <v>0</v>
      </c>
      <c r="AN239" s="10">
        <v>2</v>
      </c>
      <c r="AO239" s="10">
        <v>4</v>
      </c>
      <c r="AP239" s="10">
        <v>14</v>
      </c>
      <c r="AQ239" s="10">
        <v>8</v>
      </c>
      <c r="AR239" s="10">
        <v>0</v>
      </c>
      <c r="AS239" s="10">
        <v>0</v>
      </c>
      <c r="AT239" s="10">
        <v>13</v>
      </c>
      <c r="AU239" s="10">
        <v>1</v>
      </c>
      <c r="AV239" s="10">
        <v>0</v>
      </c>
      <c r="AW239" s="10">
        <v>1</v>
      </c>
      <c r="AX239" s="10">
        <v>4</v>
      </c>
      <c r="AY239" s="10">
        <v>0</v>
      </c>
      <c r="AZ239" s="10">
        <v>6</v>
      </c>
      <c r="BA239" s="10">
        <v>3</v>
      </c>
      <c r="BB239" s="10">
        <v>0</v>
      </c>
      <c r="BC239" s="10">
        <v>56</v>
      </c>
      <c r="BD239" s="10">
        <v>2</v>
      </c>
      <c r="BE239" s="10">
        <v>2</v>
      </c>
      <c r="BF239" s="10">
        <v>4</v>
      </c>
      <c r="BG239" s="10">
        <v>6</v>
      </c>
      <c r="BH239" s="10">
        <v>0</v>
      </c>
      <c r="BI239" s="10">
        <v>0</v>
      </c>
      <c r="BJ239" s="10">
        <v>3</v>
      </c>
      <c r="BK239" s="10">
        <v>0</v>
      </c>
      <c r="BL239" s="10">
        <v>0</v>
      </c>
      <c r="BM239" s="10">
        <v>0</v>
      </c>
      <c r="BN239" s="10">
        <v>0</v>
      </c>
      <c r="BO239" s="10">
        <v>0</v>
      </c>
      <c r="BP239" s="10">
        <v>0</v>
      </c>
      <c r="BQ239" s="10">
        <v>0</v>
      </c>
      <c r="BR239" s="10">
        <v>0</v>
      </c>
      <c r="BS239" s="10">
        <v>17</v>
      </c>
    </row>
    <row r="240" spans="1:71" x14ac:dyDescent="0.55000000000000004">
      <c r="A240" s="10">
        <v>212</v>
      </c>
      <c r="B240" s="10">
        <v>2022</v>
      </c>
      <c r="C240" s="10">
        <v>8813</v>
      </c>
      <c r="D240" s="10">
        <v>46574</v>
      </c>
      <c r="E240" s="10">
        <v>15959</v>
      </c>
      <c r="F240" s="10">
        <v>6780</v>
      </c>
      <c r="G240" s="10">
        <v>7752</v>
      </c>
      <c r="H240" s="10">
        <v>4491</v>
      </c>
      <c r="I240" s="10">
        <v>21747</v>
      </c>
      <c r="J240" s="10">
        <v>0</v>
      </c>
      <c r="K240" s="10">
        <v>0</v>
      </c>
      <c r="L240" s="10">
        <v>2276</v>
      </c>
      <c r="M240" s="10">
        <v>8535</v>
      </c>
      <c r="N240" s="10">
        <v>0</v>
      </c>
      <c r="O240" s="10">
        <v>3245</v>
      </c>
      <c r="P240" s="10">
        <v>11533</v>
      </c>
      <c r="Q240" s="10">
        <v>2080</v>
      </c>
      <c r="R240" s="10">
        <v>0</v>
      </c>
      <c r="S240" s="10">
        <v>101558</v>
      </c>
      <c r="T240" s="10">
        <v>38227</v>
      </c>
      <c r="U240" s="10">
        <v>19.54533076137524</v>
      </c>
      <c r="V240" s="10">
        <v>23.479752651694078</v>
      </c>
      <c r="W240" s="10">
        <v>0</v>
      </c>
      <c r="X240" s="10">
        <v>17.46512939407231</v>
      </c>
      <c r="Y240" s="10">
        <v>38.696165191740413</v>
      </c>
      <c r="Z240" s="10">
        <v>17.494840041279669</v>
      </c>
      <c r="AA240" s="10">
        <v>15.360721442885771</v>
      </c>
      <c r="AB240" s="10">
        <v>34.039913551294433</v>
      </c>
      <c r="AC240" s="10">
        <v>0</v>
      </c>
      <c r="AD240" s="10">
        <v>0</v>
      </c>
      <c r="AE240" s="10">
        <v>0</v>
      </c>
      <c r="AF240" s="10">
        <v>36.678265963678967</v>
      </c>
      <c r="AG240" s="10">
        <v>0</v>
      </c>
      <c r="AH240" s="10">
        <v>19.745762711864408</v>
      </c>
      <c r="AI240" s="10">
        <v>41.662533599236973</v>
      </c>
      <c r="AJ240" s="10">
        <v>0</v>
      </c>
      <c r="AK240" s="10">
        <v>27.873076923076926</v>
      </c>
      <c r="AL240" s="10">
        <v>0</v>
      </c>
      <c r="AM240" s="10">
        <v>0</v>
      </c>
      <c r="AN240" s="10">
        <v>4</v>
      </c>
      <c r="AO240" s="10">
        <v>3</v>
      </c>
      <c r="AP240" s="10">
        <v>18</v>
      </c>
      <c r="AQ240" s="10">
        <v>6</v>
      </c>
      <c r="AR240" s="10">
        <v>2</v>
      </c>
      <c r="AS240" s="10">
        <v>1</v>
      </c>
      <c r="AT240" s="10">
        <v>7</v>
      </c>
      <c r="AU240" s="10">
        <v>2</v>
      </c>
      <c r="AV240" s="10">
        <v>0</v>
      </c>
      <c r="AW240" s="10">
        <v>2</v>
      </c>
      <c r="AX240" s="10">
        <v>4</v>
      </c>
      <c r="AY240" s="10">
        <v>0</v>
      </c>
      <c r="AZ240" s="10">
        <v>4</v>
      </c>
      <c r="BA240" s="10">
        <v>1</v>
      </c>
      <c r="BB240" s="10">
        <v>0</v>
      </c>
      <c r="BC240" s="10">
        <v>54</v>
      </c>
      <c r="BD240" s="10">
        <v>0</v>
      </c>
      <c r="BE240" s="10">
        <v>0</v>
      </c>
      <c r="BF240" s="10">
        <v>16</v>
      </c>
      <c r="BG240" s="10">
        <v>6</v>
      </c>
      <c r="BH240" s="10">
        <v>7</v>
      </c>
      <c r="BI240" s="10">
        <v>2</v>
      </c>
      <c r="BJ240" s="10">
        <v>14</v>
      </c>
      <c r="BK240" s="10">
        <v>0</v>
      </c>
      <c r="BL240" s="10">
        <v>0</v>
      </c>
      <c r="BM240" s="10">
        <v>0</v>
      </c>
      <c r="BN240" s="10">
        <v>0</v>
      </c>
      <c r="BO240" s="10">
        <v>0</v>
      </c>
      <c r="BP240" s="10">
        <v>6</v>
      </c>
      <c r="BQ240" s="10">
        <v>0</v>
      </c>
      <c r="BR240" s="10">
        <v>0</v>
      </c>
      <c r="BS240" s="10">
        <v>51</v>
      </c>
    </row>
    <row r="241" spans="1:71" x14ac:dyDescent="0.55000000000000004">
      <c r="A241" s="10">
        <v>247</v>
      </c>
      <c r="B241" s="10">
        <v>2022</v>
      </c>
      <c r="C241" s="10">
        <v>2565</v>
      </c>
      <c r="D241" s="10">
        <v>46703</v>
      </c>
      <c r="E241" s="10">
        <v>14232</v>
      </c>
      <c r="F241" s="10">
        <v>7396</v>
      </c>
      <c r="G241" s="10">
        <v>0</v>
      </c>
      <c r="H241" s="10">
        <v>0</v>
      </c>
      <c r="I241" s="10">
        <v>16471</v>
      </c>
      <c r="J241" s="10">
        <v>0</v>
      </c>
      <c r="K241" s="10">
        <v>0</v>
      </c>
      <c r="L241" s="10">
        <v>3325</v>
      </c>
      <c r="M241" s="10">
        <v>7074</v>
      </c>
      <c r="N241" s="10">
        <v>0</v>
      </c>
      <c r="O241" s="10">
        <v>2223</v>
      </c>
      <c r="P241" s="10">
        <v>13099</v>
      </c>
      <c r="Q241" s="10">
        <v>4451</v>
      </c>
      <c r="R241" s="10">
        <v>0</v>
      </c>
      <c r="S241" s="10">
        <v>93688</v>
      </c>
      <c r="T241" s="10">
        <v>23851</v>
      </c>
      <c r="U241" s="10">
        <v>20.187914230019491</v>
      </c>
      <c r="V241" s="10">
        <v>21.560456501723657</v>
      </c>
      <c r="W241" s="10">
        <v>0</v>
      </c>
      <c r="X241" s="10">
        <v>19.453133783024168</v>
      </c>
      <c r="Y241" s="10">
        <v>31.413061114115738</v>
      </c>
      <c r="Z241" s="10">
        <v>0</v>
      </c>
      <c r="AA241" s="10">
        <v>0</v>
      </c>
      <c r="AB241" s="10">
        <v>32.429299981786173</v>
      </c>
      <c r="AC241" s="10">
        <v>0</v>
      </c>
      <c r="AD241" s="10">
        <v>0</v>
      </c>
      <c r="AE241" s="10">
        <v>17.399699248120299</v>
      </c>
      <c r="AF241" s="10">
        <v>39.540288379983039</v>
      </c>
      <c r="AG241" s="10">
        <v>0</v>
      </c>
      <c r="AH241" s="10">
        <v>26.035537561853349</v>
      </c>
      <c r="AI241" s="10">
        <v>39.34269791587144</v>
      </c>
      <c r="AJ241" s="10">
        <v>0</v>
      </c>
      <c r="AK241" s="10">
        <v>26.621658054369806</v>
      </c>
      <c r="AL241" s="10">
        <v>0</v>
      </c>
      <c r="AM241" s="10">
        <v>0</v>
      </c>
      <c r="AN241" s="10">
        <v>1</v>
      </c>
      <c r="AO241" s="10">
        <v>4</v>
      </c>
      <c r="AP241" s="10">
        <v>18</v>
      </c>
      <c r="AQ241" s="10">
        <v>5</v>
      </c>
      <c r="AR241" s="10">
        <v>0</v>
      </c>
      <c r="AS241" s="10">
        <v>0</v>
      </c>
      <c r="AT241" s="10">
        <v>4</v>
      </c>
      <c r="AU241" s="10">
        <v>1</v>
      </c>
      <c r="AV241" s="10">
        <v>0</v>
      </c>
      <c r="AW241" s="10">
        <v>2</v>
      </c>
      <c r="AX241" s="10">
        <v>4</v>
      </c>
      <c r="AY241" s="10">
        <v>0</v>
      </c>
      <c r="AZ241" s="10">
        <v>6</v>
      </c>
      <c r="BA241" s="10">
        <v>2</v>
      </c>
      <c r="BB241" s="10">
        <v>0</v>
      </c>
      <c r="BC241" s="10">
        <v>47</v>
      </c>
      <c r="BD241" s="10">
        <v>0</v>
      </c>
      <c r="BE241" s="10">
        <v>0</v>
      </c>
      <c r="BF241" s="10">
        <v>10</v>
      </c>
      <c r="BG241" s="10">
        <v>2</v>
      </c>
      <c r="BH241" s="10">
        <v>0</v>
      </c>
      <c r="BI241" s="10">
        <v>0</v>
      </c>
      <c r="BJ241" s="10">
        <v>3</v>
      </c>
      <c r="BK241" s="10">
        <v>0</v>
      </c>
      <c r="BL241" s="10">
        <v>0</v>
      </c>
      <c r="BM241" s="10">
        <v>0</v>
      </c>
      <c r="BN241" s="10">
        <v>0</v>
      </c>
      <c r="BO241" s="10">
        <v>0</v>
      </c>
      <c r="BP241" s="10">
        <v>2</v>
      </c>
      <c r="BQ241" s="10">
        <v>0</v>
      </c>
      <c r="BR241" s="10">
        <v>0</v>
      </c>
      <c r="BS241" s="10">
        <v>17</v>
      </c>
    </row>
    <row r="242" spans="1:71" x14ac:dyDescent="0.55000000000000004">
      <c r="A242" s="10">
        <v>978</v>
      </c>
      <c r="B242" s="10">
        <v>2022</v>
      </c>
      <c r="C242" s="10">
        <v>2212</v>
      </c>
      <c r="D242" s="10">
        <v>47003</v>
      </c>
      <c r="E242" s="10">
        <v>13811</v>
      </c>
      <c r="F242" s="10">
        <v>4900</v>
      </c>
      <c r="G242" s="10">
        <v>4195</v>
      </c>
      <c r="H242" s="10">
        <v>2604</v>
      </c>
      <c r="I242" s="10">
        <v>13644</v>
      </c>
      <c r="J242" s="10">
        <v>0</v>
      </c>
      <c r="K242" s="10">
        <v>0</v>
      </c>
      <c r="L242" s="10">
        <v>2896</v>
      </c>
      <c r="M242" s="10">
        <v>10856</v>
      </c>
      <c r="N242" s="10">
        <v>0</v>
      </c>
      <c r="O242" s="10">
        <v>2361</v>
      </c>
      <c r="P242" s="10">
        <v>15606</v>
      </c>
      <c r="Q242" s="10">
        <v>3324</v>
      </c>
      <c r="R242" s="10">
        <v>4534</v>
      </c>
      <c r="S242" s="10">
        <v>100075</v>
      </c>
      <c r="T242" s="10">
        <v>27871</v>
      </c>
      <c r="U242" s="10">
        <v>18.49367088607595</v>
      </c>
      <c r="V242" s="10">
        <v>15.941152692381337</v>
      </c>
      <c r="W242" s="10">
        <v>26.5</v>
      </c>
      <c r="X242" s="10">
        <v>15.720802259068858</v>
      </c>
      <c r="Y242" s="10">
        <v>32.642653061224493</v>
      </c>
      <c r="Z242" s="10">
        <v>12.394517282479141</v>
      </c>
      <c r="AA242" s="10">
        <v>13.615591397849462</v>
      </c>
      <c r="AB242" s="10">
        <v>24.375622984462034</v>
      </c>
      <c r="AC242" s="10">
        <v>5.2881619937694699</v>
      </c>
      <c r="AD242" s="10">
        <v>0</v>
      </c>
      <c r="AE242" s="10">
        <v>21.757596685082873</v>
      </c>
      <c r="AF242" s="10">
        <v>36.224852616064851</v>
      </c>
      <c r="AG242" s="10">
        <v>0</v>
      </c>
      <c r="AH242" s="10">
        <v>24.802626005929692</v>
      </c>
      <c r="AI242" s="10">
        <v>31.97500961168781</v>
      </c>
      <c r="AJ242" s="10">
        <v>52.417680973734782</v>
      </c>
      <c r="AK242" s="10">
        <v>28.518652226233453</v>
      </c>
      <c r="AL242" s="10">
        <v>17.477062196735773</v>
      </c>
      <c r="AM242" s="10">
        <v>0</v>
      </c>
      <c r="AN242" s="10">
        <v>1</v>
      </c>
      <c r="AO242" s="10">
        <v>2</v>
      </c>
      <c r="AP242" s="10">
        <v>10</v>
      </c>
      <c r="AQ242" s="10">
        <v>1</v>
      </c>
      <c r="AR242" s="10">
        <v>2</v>
      </c>
      <c r="AS242" s="10">
        <v>1</v>
      </c>
      <c r="AT242" s="10">
        <v>3</v>
      </c>
      <c r="AU242" s="10">
        <v>1</v>
      </c>
      <c r="AV242" s="10">
        <v>0</v>
      </c>
      <c r="AW242" s="10">
        <v>1</v>
      </c>
      <c r="AX242" s="10">
        <v>4</v>
      </c>
      <c r="AY242" s="10">
        <v>0</v>
      </c>
      <c r="AZ242" s="10">
        <v>3</v>
      </c>
      <c r="BA242" s="10">
        <v>1</v>
      </c>
      <c r="BB242" s="10">
        <v>1</v>
      </c>
      <c r="BC242" s="10">
        <v>31</v>
      </c>
      <c r="BD242" s="10">
        <v>0</v>
      </c>
      <c r="BE242" s="10">
        <v>0</v>
      </c>
      <c r="BF242" s="10">
        <v>6</v>
      </c>
      <c r="BG242" s="10">
        <v>6</v>
      </c>
      <c r="BH242" s="10">
        <v>0</v>
      </c>
      <c r="BI242" s="10">
        <v>1</v>
      </c>
      <c r="BJ242" s="10">
        <v>1</v>
      </c>
      <c r="BK242" s="10">
        <v>0</v>
      </c>
      <c r="BL242" s="10">
        <v>0</v>
      </c>
      <c r="BM242" s="10">
        <v>1</v>
      </c>
      <c r="BN242" s="10">
        <v>0</v>
      </c>
      <c r="BO242" s="10">
        <v>0</v>
      </c>
      <c r="BP242" s="10">
        <v>2</v>
      </c>
      <c r="BQ242" s="10">
        <v>0</v>
      </c>
      <c r="BR242" s="10">
        <v>2</v>
      </c>
      <c r="BS242" s="10">
        <v>19</v>
      </c>
    </row>
    <row r="243" spans="1:71" x14ac:dyDescent="0.55000000000000004">
      <c r="A243" s="10">
        <v>408</v>
      </c>
      <c r="B243" s="10">
        <v>2022</v>
      </c>
      <c r="C243" s="10">
        <v>9736</v>
      </c>
      <c r="D243" s="10">
        <v>47140</v>
      </c>
      <c r="E243" s="10">
        <v>21460</v>
      </c>
      <c r="F243" s="10">
        <v>9280</v>
      </c>
      <c r="G243" s="10">
        <v>9789</v>
      </c>
      <c r="H243" s="10">
        <v>0</v>
      </c>
      <c r="I243" s="10">
        <v>20188</v>
      </c>
      <c r="J243" s="10">
        <v>0</v>
      </c>
      <c r="K243" s="10">
        <v>0</v>
      </c>
      <c r="L243" s="10">
        <v>4822</v>
      </c>
      <c r="M243" s="10">
        <v>10790</v>
      </c>
      <c r="N243" s="10">
        <v>0</v>
      </c>
      <c r="O243" s="10">
        <v>3075</v>
      </c>
      <c r="P243" s="10">
        <v>5031</v>
      </c>
      <c r="Q243" s="10">
        <v>3480</v>
      </c>
      <c r="R243" s="10">
        <v>126</v>
      </c>
      <c r="S243" s="10">
        <v>101313</v>
      </c>
      <c r="T243" s="10">
        <v>43604</v>
      </c>
      <c r="U243" s="10">
        <v>22.064913722267871</v>
      </c>
      <c r="V243" s="10">
        <v>24.348408994484512</v>
      </c>
      <c r="W243" s="10">
        <v>0</v>
      </c>
      <c r="X243" s="10">
        <v>19.191099720410065</v>
      </c>
      <c r="Y243" s="10">
        <v>23.515625</v>
      </c>
      <c r="Z243" s="10">
        <v>19.570640514863623</v>
      </c>
      <c r="AA243" s="10">
        <v>0</v>
      </c>
      <c r="AB243" s="10">
        <v>34.393996433524869</v>
      </c>
      <c r="AC243" s="10">
        <v>0</v>
      </c>
      <c r="AD243" s="10">
        <v>0</v>
      </c>
      <c r="AE243" s="10">
        <v>21.732890916632105</v>
      </c>
      <c r="AF243" s="10">
        <v>41.085449490268765</v>
      </c>
      <c r="AG243" s="10">
        <v>0</v>
      </c>
      <c r="AH243" s="10">
        <v>32.333333333333336</v>
      </c>
      <c r="AI243" s="10">
        <v>36.739216855495926</v>
      </c>
      <c r="AJ243" s="10">
        <v>0</v>
      </c>
      <c r="AK243" s="10">
        <v>24.211494252873564</v>
      </c>
      <c r="AL243" s="10">
        <v>21.142857142857142</v>
      </c>
      <c r="AM243" s="10">
        <v>0</v>
      </c>
      <c r="AN243" s="10">
        <v>5</v>
      </c>
      <c r="AO243" s="10">
        <v>2</v>
      </c>
      <c r="AP243" s="10">
        <v>18</v>
      </c>
      <c r="AQ243" s="10">
        <v>10</v>
      </c>
      <c r="AR243" s="10">
        <v>5</v>
      </c>
      <c r="AS243" s="10">
        <v>0</v>
      </c>
      <c r="AT243" s="10">
        <v>5</v>
      </c>
      <c r="AU243" s="10">
        <v>1</v>
      </c>
      <c r="AV243" s="10">
        <v>0</v>
      </c>
      <c r="AW243" s="10">
        <v>2</v>
      </c>
      <c r="AX243" s="10">
        <v>5</v>
      </c>
      <c r="AY243" s="10">
        <v>3</v>
      </c>
      <c r="AZ243" s="10">
        <v>0</v>
      </c>
      <c r="BA243" s="10">
        <v>2</v>
      </c>
      <c r="BB243" s="10">
        <v>0</v>
      </c>
      <c r="BC243" s="10">
        <v>58</v>
      </c>
      <c r="BD243" s="10">
        <v>1</v>
      </c>
      <c r="BE243" s="10">
        <v>0</v>
      </c>
      <c r="BF243" s="10">
        <v>2</v>
      </c>
      <c r="BG243" s="10">
        <v>2</v>
      </c>
      <c r="BH243" s="10">
        <v>0</v>
      </c>
      <c r="BI243" s="10">
        <v>0</v>
      </c>
      <c r="BJ243" s="10">
        <v>0</v>
      </c>
      <c r="BK243" s="10">
        <v>0</v>
      </c>
      <c r="BL243" s="10">
        <v>0</v>
      </c>
      <c r="BM243" s="10">
        <v>0</v>
      </c>
      <c r="BN243" s="10">
        <v>0</v>
      </c>
      <c r="BO243" s="10">
        <v>1</v>
      </c>
      <c r="BP243" s="10">
        <v>0</v>
      </c>
      <c r="BQ243" s="10">
        <v>0</v>
      </c>
      <c r="BR243" s="10">
        <v>0</v>
      </c>
      <c r="BS243" s="10">
        <v>6</v>
      </c>
    </row>
    <row r="244" spans="1:71" x14ac:dyDescent="0.55000000000000004">
      <c r="A244" s="10">
        <v>604</v>
      </c>
      <c r="B244" s="10">
        <v>2022</v>
      </c>
      <c r="C244" s="10">
        <v>7452</v>
      </c>
      <c r="D244" s="10">
        <v>47492</v>
      </c>
      <c r="E244" s="10">
        <v>21374</v>
      </c>
      <c r="F244" s="10">
        <v>8035</v>
      </c>
      <c r="G244" s="10">
        <v>8778</v>
      </c>
      <c r="H244" s="10">
        <v>2528</v>
      </c>
      <c r="I244" s="10">
        <v>18074</v>
      </c>
      <c r="J244" s="10">
        <v>0</v>
      </c>
      <c r="K244" s="10">
        <v>0</v>
      </c>
      <c r="L244" s="10">
        <v>1661</v>
      </c>
      <c r="M244" s="10">
        <v>6872</v>
      </c>
      <c r="N244" s="10">
        <v>3098</v>
      </c>
      <c r="O244" s="10">
        <v>4505</v>
      </c>
      <c r="P244" s="10">
        <v>15501</v>
      </c>
      <c r="Q244" s="10">
        <v>2862</v>
      </c>
      <c r="R244" s="10">
        <v>26</v>
      </c>
      <c r="S244" s="10">
        <v>103038</v>
      </c>
      <c r="T244" s="10">
        <v>45220</v>
      </c>
      <c r="U244" s="10">
        <v>19.323939881910896</v>
      </c>
      <c r="V244" s="10">
        <v>21.728775372694351</v>
      </c>
      <c r="W244" s="10">
        <v>0</v>
      </c>
      <c r="X244" s="10">
        <v>20.39164405352297</v>
      </c>
      <c r="Y244" s="10">
        <v>36.115245799626635</v>
      </c>
      <c r="Z244" s="10">
        <v>17.228070175438596</v>
      </c>
      <c r="AA244" s="10">
        <v>16.359968354430379</v>
      </c>
      <c r="AB244" s="10">
        <v>27.697244660838773</v>
      </c>
      <c r="AC244" s="10">
        <v>0</v>
      </c>
      <c r="AD244" s="10">
        <v>0</v>
      </c>
      <c r="AE244" s="10">
        <v>19.681517158338352</v>
      </c>
      <c r="AF244" s="10">
        <v>42.548311990686848</v>
      </c>
      <c r="AG244" s="10">
        <v>23.479341510652031</v>
      </c>
      <c r="AH244" s="10">
        <v>22.412430632630411</v>
      </c>
      <c r="AI244" s="10">
        <v>37.031352815947358</v>
      </c>
      <c r="AJ244" s="10">
        <v>0</v>
      </c>
      <c r="AK244" s="10">
        <v>23.907756813417191</v>
      </c>
      <c r="AL244" s="10">
        <v>19.384615384615383</v>
      </c>
      <c r="AM244" s="10">
        <v>0</v>
      </c>
      <c r="AN244" s="10">
        <v>2</v>
      </c>
      <c r="AO244" s="10">
        <v>4</v>
      </c>
      <c r="AP244" s="10">
        <v>12</v>
      </c>
      <c r="AQ244" s="10">
        <v>7</v>
      </c>
      <c r="AR244" s="10">
        <v>3</v>
      </c>
      <c r="AS244" s="10">
        <v>1</v>
      </c>
      <c r="AT244" s="10">
        <v>5</v>
      </c>
      <c r="AU244" s="10">
        <v>2</v>
      </c>
      <c r="AV244" s="10">
        <v>0</v>
      </c>
      <c r="AW244" s="10">
        <v>1</v>
      </c>
      <c r="AX244" s="10">
        <v>2</v>
      </c>
      <c r="AY244" s="10">
        <v>2</v>
      </c>
      <c r="AZ244" s="10">
        <v>7</v>
      </c>
      <c r="BA244" s="10">
        <v>1</v>
      </c>
      <c r="BB244" s="10">
        <v>0</v>
      </c>
      <c r="BC244" s="10">
        <v>49</v>
      </c>
      <c r="BD244" s="10">
        <v>2</v>
      </c>
      <c r="BE244" s="10">
        <v>0</v>
      </c>
      <c r="BF244" s="10">
        <v>27</v>
      </c>
      <c r="BG244" s="10">
        <v>13</v>
      </c>
      <c r="BH244" s="10">
        <v>2</v>
      </c>
      <c r="BI244" s="10">
        <v>1</v>
      </c>
      <c r="BJ244" s="10">
        <v>12</v>
      </c>
      <c r="BK244" s="10">
        <v>0</v>
      </c>
      <c r="BL244" s="10">
        <v>0</v>
      </c>
      <c r="BM244" s="10">
        <v>0</v>
      </c>
      <c r="BN244" s="10">
        <v>2</v>
      </c>
      <c r="BO244" s="10">
        <v>0</v>
      </c>
      <c r="BP244" s="10">
        <v>2</v>
      </c>
      <c r="BQ244" s="10">
        <v>0</v>
      </c>
      <c r="BR244" s="10">
        <v>0</v>
      </c>
      <c r="BS244" s="10">
        <v>61</v>
      </c>
    </row>
    <row r="245" spans="1:71" x14ac:dyDescent="0.55000000000000004">
      <c r="A245" s="10">
        <v>894</v>
      </c>
      <c r="B245" s="10">
        <v>2022</v>
      </c>
      <c r="C245" s="10">
        <v>8011</v>
      </c>
      <c r="D245" s="10">
        <v>48733</v>
      </c>
      <c r="E245" s="10">
        <v>18693</v>
      </c>
      <c r="F245" s="10">
        <v>7402</v>
      </c>
      <c r="G245" s="10">
        <v>8539</v>
      </c>
      <c r="H245" s="10">
        <v>4708</v>
      </c>
      <c r="I245" s="10">
        <v>11779</v>
      </c>
      <c r="J245" s="10">
        <v>0</v>
      </c>
      <c r="K245" s="10">
        <v>0</v>
      </c>
      <c r="L245" s="10">
        <v>7883</v>
      </c>
      <c r="M245" s="10">
        <v>13458</v>
      </c>
      <c r="N245" s="10">
        <v>1719</v>
      </c>
      <c r="O245" s="10">
        <v>6965</v>
      </c>
      <c r="P245" s="10">
        <v>10865</v>
      </c>
      <c r="Q245" s="10">
        <v>4784</v>
      </c>
      <c r="R245" s="10">
        <v>12311</v>
      </c>
      <c r="S245" s="10">
        <v>119543</v>
      </c>
      <c r="T245" s="10">
        <v>46307</v>
      </c>
      <c r="U245" s="10">
        <v>17.823992010984895</v>
      </c>
      <c r="V245" s="10">
        <v>23.852276691359037</v>
      </c>
      <c r="W245" s="10">
        <v>30.752182347235692</v>
      </c>
      <c r="X245" s="10">
        <v>10.19825603166961</v>
      </c>
      <c r="Y245" s="10">
        <v>39.489057011618485</v>
      </c>
      <c r="Z245" s="10">
        <v>17.570207284225319</v>
      </c>
      <c r="AA245" s="10">
        <v>15.026550552251486</v>
      </c>
      <c r="AB245" s="10">
        <v>29.110705492826217</v>
      </c>
      <c r="AC245" s="10">
        <v>50.17502668089648</v>
      </c>
      <c r="AD245" s="10">
        <v>0</v>
      </c>
      <c r="AE245" s="10">
        <v>21.01763288088291</v>
      </c>
      <c r="AF245" s="10">
        <v>35.211249814236886</v>
      </c>
      <c r="AG245" s="10">
        <v>33.338568935427574</v>
      </c>
      <c r="AH245" s="10">
        <v>20.939411342426414</v>
      </c>
      <c r="AI245" s="10">
        <v>35.932075471698113</v>
      </c>
      <c r="AJ245" s="10">
        <v>60.860245784509864</v>
      </c>
      <c r="AK245" s="10">
        <v>23.787834448160535</v>
      </c>
      <c r="AL245" s="10">
        <v>29.339858662984323</v>
      </c>
      <c r="AM245" s="10">
        <v>36.381443298969074</v>
      </c>
      <c r="AN245" s="10">
        <v>3</v>
      </c>
      <c r="AO245" s="10">
        <v>4</v>
      </c>
      <c r="AP245" s="10">
        <v>14</v>
      </c>
      <c r="AQ245" s="10">
        <v>7</v>
      </c>
      <c r="AR245" s="10">
        <v>6</v>
      </c>
      <c r="AS245" s="10">
        <v>4</v>
      </c>
      <c r="AT245" s="10">
        <v>2</v>
      </c>
      <c r="AU245" s="10">
        <v>5</v>
      </c>
      <c r="AV245" s="10">
        <v>0</v>
      </c>
      <c r="AW245" s="10">
        <v>2</v>
      </c>
      <c r="AX245" s="10">
        <v>6</v>
      </c>
      <c r="AY245" s="10">
        <v>1</v>
      </c>
      <c r="AZ245" s="10">
        <v>2</v>
      </c>
      <c r="BA245" s="10">
        <v>2</v>
      </c>
      <c r="BB245" s="10">
        <v>5</v>
      </c>
      <c r="BC245" s="10">
        <v>63</v>
      </c>
      <c r="BD245" s="10">
        <v>1</v>
      </c>
      <c r="BE245" s="10">
        <v>0</v>
      </c>
      <c r="BF245" s="10">
        <v>9</v>
      </c>
      <c r="BG245" s="10">
        <v>15</v>
      </c>
      <c r="BH245" s="10">
        <v>2</v>
      </c>
      <c r="BI245" s="10">
        <v>1</v>
      </c>
      <c r="BJ245" s="10">
        <v>0</v>
      </c>
      <c r="BK245" s="10">
        <v>0</v>
      </c>
      <c r="BL245" s="10">
        <v>0</v>
      </c>
      <c r="BM245" s="10">
        <v>0</v>
      </c>
      <c r="BN245" s="10">
        <v>1</v>
      </c>
      <c r="BO245" s="10">
        <v>0</v>
      </c>
      <c r="BP245" s="10">
        <v>1</v>
      </c>
      <c r="BQ245" s="10">
        <v>0</v>
      </c>
      <c r="BR245" s="10">
        <v>0</v>
      </c>
      <c r="BS245" s="10">
        <v>30</v>
      </c>
    </row>
    <row r="246" spans="1:71" x14ac:dyDescent="0.55000000000000004">
      <c r="A246" s="10">
        <v>712</v>
      </c>
      <c r="B246" s="10">
        <v>2022</v>
      </c>
      <c r="C246" s="10">
        <v>6899</v>
      </c>
      <c r="D246" s="10">
        <v>49683</v>
      </c>
      <c r="E246" s="10">
        <v>19948</v>
      </c>
      <c r="F246" s="10">
        <v>10549</v>
      </c>
      <c r="G246" s="10">
        <v>9742</v>
      </c>
      <c r="H246" s="10">
        <v>4386</v>
      </c>
      <c r="I246" s="10">
        <v>22763</v>
      </c>
      <c r="J246" s="10">
        <v>0</v>
      </c>
      <c r="K246" s="10">
        <v>0</v>
      </c>
      <c r="L246" s="10">
        <v>5444</v>
      </c>
      <c r="M246" s="10">
        <v>7638</v>
      </c>
      <c r="N246" s="10">
        <v>3170</v>
      </c>
      <c r="O246" s="10">
        <v>4139</v>
      </c>
      <c r="P246" s="10">
        <v>18063</v>
      </c>
      <c r="Q246" s="10">
        <v>6071</v>
      </c>
      <c r="R246" s="10">
        <v>6858</v>
      </c>
      <c r="S246" s="10">
        <v>126589</v>
      </c>
      <c r="T246" s="10">
        <v>48764</v>
      </c>
      <c r="U246" s="10">
        <v>23.159153500507319</v>
      </c>
      <c r="V246" s="10">
        <v>22.357305315701545</v>
      </c>
      <c r="W246" s="10">
        <v>0</v>
      </c>
      <c r="X246" s="10">
        <v>20.147433326649288</v>
      </c>
      <c r="Y246" s="10">
        <v>27.485922836287802</v>
      </c>
      <c r="Z246" s="10">
        <v>19.850544036132209</v>
      </c>
      <c r="AA246" s="10">
        <v>20.771089831281348</v>
      </c>
      <c r="AB246" s="10">
        <v>35.341079822518999</v>
      </c>
      <c r="AC246" s="10">
        <v>0</v>
      </c>
      <c r="AD246" s="10">
        <v>0</v>
      </c>
      <c r="AE246" s="10">
        <v>23.868111682586331</v>
      </c>
      <c r="AF246" s="10">
        <v>42.311207122283321</v>
      </c>
      <c r="AG246" s="10">
        <v>28.760883280757099</v>
      </c>
      <c r="AH246" s="10">
        <v>26.695095433679633</v>
      </c>
      <c r="AI246" s="10">
        <v>41.891047998671318</v>
      </c>
      <c r="AJ246" s="10">
        <v>0</v>
      </c>
      <c r="AK246" s="10">
        <v>30.00840059298303</v>
      </c>
      <c r="AL246" s="10">
        <v>22.44954797317002</v>
      </c>
      <c r="AM246" s="10">
        <v>0</v>
      </c>
      <c r="AN246" s="10">
        <v>3</v>
      </c>
      <c r="AO246" s="10">
        <v>4</v>
      </c>
      <c r="AP246" s="10">
        <v>17</v>
      </c>
      <c r="AQ246" s="10">
        <v>7</v>
      </c>
      <c r="AR246" s="10">
        <v>5</v>
      </c>
      <c r="AS246" s="10">
        <v>1</v>
      </c>
      <c r="AT246" s="10">
        <v>9</v>
      </c>
      <c r="AU246" s="10">
        <v>2</v>
      </c>
      <c r="AV246" s="10">
        <v>0</v>
      </c>
      <c r="AW246" s="10">
        <v>3</v>
      </c>
      <c r="AX246" s="10">
        <v>4</v>
      </c>
      <c r="AY246" s="10">
        <v>2</v>
      </c>
      <c r="AZ246" s="10">
        <v>7</v>
      </c>
      <c r="BA246" s="10">
        <v>3</v>
      </c>
      <c r="BB246" s="10">
        <v>2</v>
      </c>
      <c r="BC246" s="10">
        <v>69</v>
      </c>
      <c r="BD246" s="10">
        <v>0</v>
      </c>
      <c r="BE246" s="10">
        <v>4</v>
      </c>
      <c r="BF246" s="10">
        <v>9</v>
      </c>
      <c r="BG246" s="10">
        <v>10</v>
      </c>
      <c r="BH246" s="10">
        <v>2</v>
      </c>
      <c r="BI246" s="10">
        <v>1</v>
      </c>
      <c r="BJ246" s="10">
        <v>4</v>
      </c>
      <c r="BK246" s="10">
        <v>0</v>
      </c>
      <c r="BL246" s="10">
        <v>0</v>
      </c>
      <c r="BM246" s="10">
        <v>0</v>
      </c>
      <c r="BN246" s="10">
        <v>0</v>
      </c>
      <c r="BO246" s="10">
        <v>0</v>
      </c>
      <c r="BP246" s="10">
        <v>5</v>
      </c>
      <c r="BQ246" s="10">
        <v>0</v>
      </c>
      <c r="BR246" s="10">
        <v>0</v>
      </c>
      <c r="BS246" s="10">
        <v>35</v>
      </c>
    </row>
    <row r="247" spans="1:71" x14ac:dyDescent="0.55000000000000004">
      <c r="A247" s="10">
        <v>522</v>
      </c>
      <c r="B247" s="10">
        <v>2022</v>
      </c>
      <c r="C247" s="10">
        <v>6464</v>
      </c>
      <c r="D247" s="10">
        <v>49783</v>
      </c>
      <c r="E247" s="10">
        <v>23818</v>
      </c>
      <c r="F247" s="10">
        <v>5709</v>
      </c>
      <c r="G247" s="10">
        <v>0</v>
      </c>
      <c r="H247" s="10">
        <v>0</v>
      </c>
      <c r="I247" s="10">
        <v>13349</v>
      </c>
      <c r="J247" s="10">
        <v>540</v>
      </c>
      <c r="K247" s="10">
        <v>0</v>
      </c>
      <c r="L247" s="10">
        <v>6500</v>
      </c>
      <c r="M247" s="10">
        <v>3217</v>
      </c>
      <c r="N247" s="10">
        <v>0</v>
      </c>
      <c r="O247" s="10">
        <v>4160</v>
      </c>
      <c r="P247" s="10">
        <v>15509</v>
      </c>
      <c r="Q247" s="10">
        <v>5036</v>
      </c>
      <c r="R247" s="10">
        <v>1154</v>
      </c>
      <c r="S247" s="10">
        <v>101552</v>
      </c>
      <c r="T247" s="10">
        <v>33687</v>
      </c>
      <c r="U247" s="10">
        <v>20.171101485148515</v>
      </c>
      <c r="V247" s="10">
        <v>21.671092541630678</v>
      </c>
      <c r="W247" s="10">
        <v>33.684672386895471</v>
      </c>
      <c r="X247" s="10">
        <v>18.124107817616927</v>
      </c>
      <c r="Y247" s="10">
        <v>33.134174111052722</v>
      </c>
      <c r="Z247" s="10">
        <v>0</v>
      </c>
      <c r="AA247" s="10">
        <v>0</v>
      </c>
      <c r="AB247" s="10">
        <v>30.278372911828601</v>
      </c>
      <c r="AC247" s="10">
        <v>48.690939226519333</v>
      </c>
      <c r="AD247" s="10">
        <v>0</v>
      </c>
      <c r="AE247" s="10">
        <v>21.85876923076923</v>
      </c>
      <c r="AF247" s="10">
        <v>54.723655579732672</v>
      </c>
      <c r="AG247" s="10">
        <v>0</v>
      </c>
      <c r="AH247" s="10">
        <v>26.663221153846155</v>
      </c>
      <c r="AI247" s="10">
        <v>37.842543039525438</v>
      </c>
      <c r="AJ247" s="10">
        <v>60.413110276544892</v>
      </c>
      <c r="AK247" s="10">
        <v>31.874106433677522</v>
      </c>
      <c r="AL247" s="10">
        <v>26.843154246100518</v>
      </c>
      <c r="AM247" s="10">
        <v>0</v>
      </c>
      <c r="AN247" s="10">
        <v>4</v>
      </c>
      <c r="AO247" s="10">
        <v>4</v>
      </c>
      <c r="AP247" s="10">
        <v>12</v>
      </c>
      <c r="AQ247" s="10">
        <v>7</v>
      </c>
      <c r="AR247" s="10">
        <v>0</v>
      </c>
      <c r="AS247" s="10">
        <v>0</v>
      </c>
      <c r="AT247" s="10">
        <v>5</v>
      </c>
      <c r="AU247" s="10">
        <v>1</v>
      </c>
      <c r="AV247" s="10">
        <v>0</v>
      </c>
      <c r="AW247" s="10">
        <v>2</v>
      </c>
      <c r="AX247" s="10">
        <v>3</v>
      </c>
      <c r="AY247" s="10">
        <v>0</v>
      </c>
      <c r="AZ247" s="10">
        <v>5</v>
      </c>
      <c r="BA247" s="10">
        <v>2</v>
      </c>
      <c r="BB247" s="10">
        <v>0</v>
      </c>
      <c r="BC247" s="10">
        <v>45</v>
      </c>
      <c r="BD247" s="10">
        <v>0</v>
      </c>
      <c r="BE247" s="10">
        <v>0</v>
      </c>
      <c r="BF247" s="10">
        <v>0</v>
      </c>
      <c r="BG247" s="10">
        <v>4</v>
      </c>
      <c r="BH247" s="10">
        <v>0</v>
      </c>
      <c r="BI247" s="10">
        <v>0</v>
      </c>
      <c r="BJ247" s="10">
        <v>0</v>
      </c>
      <c r="BK247" s="10">
        <v>0</v>
      </c>
      <c r="BL247" s="10">
        <v>0</v>
      </c>
      <c r="BM247" s="10">
        <v>0</v>
      </c>
      <c r="BN247" s="10">
        <v>0</v>
      </c>
      <c r="BO247" s="10">
        <v>0</v>
      </c>
      <c r="BP247" s="10">
        <v>2</v>
      </c>
      <c r="BQ247" s="10">
        <v>0</v>
      </c>
      <c r="BR247" s="10">
        <v>0</v>
      </c>
      <c r="BS247" s="10">
        <v>6</v>
      </c>
    </row>
    <row r="248" spans="1:71" x14ac:dyDescent="0.55000000000000004">
      <c r="A248" s="10">
        <v>572</v>
      </c>
      <c r="B248" s="10">
        <v>2022</v>
      </c>
      <c r="C248" s="10">
        <v>5879</v>
      </c>
      <c r="D248" s="10">
        <v>49967</v>
      </c>
      <c r="E248" s="10">
        <v>19376</v>
      </c>
      <c r="F248" s="10">
        <v>8599</v>
      </c>
      <c r="G248" s="10">
        <v>6599</v>
      </c>
      <c r="H248" s="10">
        <v>3032</v>
      </c>
      <c r="I248" s="10">
        <v>10306</v>
      </c>
      <c r="J248" s="10">
        <v>0</v>
      </c>
      <c r="K248" s="10">
        <v>0</v>
      </c>
      <c r="L248" s="10">
        <v>5621</v>
      </c>
      <c r="M248" s="10">
        <v>7880</v>
      </c>
      <c r="N248" s="10">
        <v>0</v>
      </c>
      <c r="O248" s="10">
        <v>3078</v>
      </c>
      <c r="P248" s="10">
        <v>10079</v>
      </c>
      <c r="Q248" s="10">
        <v>2160</v>
      </c>
      <c r="R248" s="10">
        <v>3867</v>
      </c>
      <c r="S248" s="10">
        <v>95759</v>
      </c>
      <c r="T248" s="10">
        <v>40684</v>
      </c>
      <c r="U248" s="10">
        <v>18.698758292226568</v>
      </c>
      <c r="V248" s="10">
        <v>21.60341825604899</v>
      </c>
      <c r="W248" s="10">
        <v>0</v>
      </c>
      <c r="X248" s="10">
        <v>19.438170933113128</v>
      </c>
      <c r="Y248" s="10">
        <v>34.041632747993951</v>
      </c>
      <c r="Z248" s="10">
        <v>17.2929231701773</v>
      </c>
      <c r="AA248" s="10">
        <v>18.49538258575198</v>
      </c>
      <c r="AB248" s="10">
        <v>35.019988356297304</v>
      </c>
      <c r="AC248" s="10">
        <v>0</v>
      </c>
      <c r="AD248" s="10">
        <v>0</v>
      </c>
      <c r="AE248" s="10">
        <v>21.426258672834013</v>
      </c>
      <c r="AF248" s="10">
        <v>37.856598984771573</v>
      </c>
      <c r="AG248" s="10">
        <v>0</v>
      </c>
      <c r="AH248" s="10">
        <v>26.4551656920078</v>
      </c>
      <c r="AI248" s="10">
        <v>44.223732513146139</v>
      </c>
      <c r="AJ248" s="10">
        <v>0</v>
      </c>
      <c r="AK248" s="10">
        <v>28.726851851851851</v>
      </c>
      <c r="AL248" s="10">
        <v>23.656322730799069</v>
      </c>
      <c r="AM248" s="10">
        <v>0</v>
      </c>
      <c r="AN248" s="10">
        <v>2</v>
      </c>
      <c r="AO248" s="10">
        <v>4</v>
      </c>
      <c r="AP248" s="10">
        <v>16</v>
      </c>
      <c r="AQ248" s="10">
        <v>3</v>
      </c>
      <c r="AR248" s="10">
        <v>2</v>
      </c>
      <c r="AS248" s="10">
        <v>1</v>
      </c>
      <c r="AT248" s="10">
        <v>5</v>
      </c>
      <c r="AU248" s="10">
        <v>1</v>
      </c>
      <c r="AV248" s="10">
        <v>0</v>
      </c>
      <c r="AW248" s="10">
        <v>2</v>
      </c>
      <c r="AX248" s="10">
        <v>3</v>
      </c>
      <c r="AY248" s="10">
        <v>0</v>
      </c>
      <c r="AZ248" s="10">
        <v>6</v>
      </c>
      <c r="BA248" s="10">
        <v>1</v>
      </c>
      <c r="BB248" s="10">
        <v>2</v>
      </c>
      <c r="BC248" s="10">
        <v>48</v>
      </c>
      <c r="BD248" s="10">
        <v>4</v>
      </c>
      <c r="BE248" s="10">
        <v>0</v>
      </c>
      <c r="BF248" s="10">
        <v>8</v>
      </c>
      <c r="BG248" s="10">
        <v>6</v>
      </c>
      <c r="BH248" s="10">
        <v>2</v>
      </c>
      <c r="BI248" s="10">
        <v>0</v>
      </c>
      <c r="BJ248" s="10">
        <v>0</v>
      </c>
      <c r="BK248" s="10">
        <v>1</v>
      </c>
      <c r="BL248" s="10">
        <v>0</v>
      </c>
      <c r="BM248" s="10">
        <v>1</v>
      </c>
      <c r="BN248" s="10">
        <v>0</v>
      </c>
      <c r="BO248" s="10">
        <v>0</v>
      </c>
      <c r="BP248" s="10">
        <v>0</v>
      </c>
      <c r="BQ248" s="10">
        <v>0</v>
      </c>
      <c r="BR248" s="10">
        <v>0</v>
      </c>
      <c r="BS248" s="10">
        <v>22</v>
      </c>
    </row>
    <row r="249" spans="1:71" x14ac:dyDescent="0.55000000000000004">
      <c r="A249" s="10">
        <v>638</v>
      </c>
      <c r="B249" s="10">
        <v>2022</v>
      </c>
      <c r="C249" s="10">
        <v>6788</v>
      </c>
      <c r="D249" s="10">
        <v>50196</v>
      </c>
      <c r="E249" s="10">
        <v>26244</v>
      </c>
      <c r="F249" s="10">
        <v>21051</v>
      </c>
      <c r="G249" s="10">
        <v>16938</v>
      </c>
      <c r="H249" s="10">
        <v>2824</v>
      </c>
      <c r="I249" s="10">
        <v>17768</v>
      </c>
      <c r="J249" s="10">
        <v>0</v>
      </c>
      <c r="K249" s="10">
        <v>0</v>
      </c>
      <c r="L249" s="10">
        <v>6502</v>
      </c>
      <c r="M249" s="10">
        <v>8609</v>
      </c>
      <c r="N249" s="10">
        <v>650</v>
      </c>
      <c r="O249" s="10">
        <v>8894</v>
      </c>
      <c r="P249" s="10">
        <v>13659</v>
      </c>
      <c r="Q249" s="10">
        <v>4070</v>
      </c>
      <c r="R249" s="10">
        <v>24973</v>
      </c>
      <c r="S249" s="10">
        <v>133215</v>
      </c>
      <c r="T249" s="10">
        <v>75951</v>
      </c>
      <c r="U249" s="10">
        <v>24.793017088980555</v>
      </c>
      <c r="V249" s="10">
        <v>23.010598454060084</v>
      </c>
      <c r="W249" s="10">
        <v>32.783587178904298</v>
      </c>
      <c r="X249" s="10">
        <v>16.507544581618653</v>
      </c>
      <c r="Y249" s="10">
        <v>41.756448624768417</v>
      </c>
      <c r="Z249" s="10">
        <v>16.989373007438893</v>
      </c>
      <c r="AA249" s="10">
        <v>17.102337110481585</v>
      </c>
      <c r="AB249" s="10">
        <v>30.79266096352994</v>
      </c>
      <c r="AC249" s="10">
        <v>51.259259259259252</v>
      </c>
      <c r="AD249" s="10">
        <v>0</v>
      </c>
      <c r="AE249" s="10">
        <v>23.242386957859118</v>
      </c>
      <c r="AF249" s="10">
        <v>43.979091648275066</v>
      </c>
      <c r="AG249" s="10">
        <v>26.395384615384614</v>
      </c>
      <c r="AH249" s="10">
        <v>19.482684956150212</v>
      </c>
      <c r="AI249" s="10">
        <v>47.707738487444175</v>
      </c>
      <c r="AJ249" s="10">
        <v>62.197916666666664</v>
      </c>
      <c r="AK249" s="10">
        <v>23.925798525798527</v>
      </c>
      <c r="AL249" s="10">
        <v>24.815320546189884</v>
      </c>
      <c r="AM249" s="10">
        <v>0</v>
      </c>
      <c r="AN249" s="10">
        <v>5</v>
      </c>
      <c r="AO249" s="10">
        <v>8</v>
      </c>
      <c r="AP249" s="10">
        <v>19</v>
      </c>
      <c r="AQ249" s="10">
        <v>1</v>
      </c>
      <c r="AR249" s="10">
        <v>0</v>
      </c>
      <c r="AS249" s="10">
        <v>0</v>
      </c>
      <c r="AT249" s="10">
        <v>5</v>
      </c>
      <c r="AU249" s="10">
        <v>0</v>
      </c>
      <c r="AV249" s="10">
        <v>0</v>
      </c>
      <c r="AW249" s="10">
        <v>3</v>
      </c>
      <c r="AX249" s="10">
        <v>4</v>
      </c>
      <c r="AY249" s="10">
        <v>2</v>
      </c>
      <c r="AZ249" s="10">
        <v>4</v>
      </c>
      <c r="BA249" s="10">
        <v>1</v>
      </c>
      <c r="BB249" s="10">
        <v>10</v>
      </c>
      <c r="BC249" s="10">
        <v>62</v>
      </c>
      <c r="BD249" s="10">
        <v>0</v>
      </c>
      <c r="BE249" s="10">
        <v>0</v>
      </c>
      <c r="BF249" s="10">
        <v>61</v>
      </c>
      <c r="BG249" s="10">
        <v>1</v>
      </c>
      <c r="BH249" s="10">
        <v>0</v>
      </c>
      <c r="BI249" s="10">
        <v>0</v>
      </c>
      <c r="BJ249" s="10">
        <v>5</v>
      </c>
      <c r="BK249" s="10">
        <v>0</v>
      </c>
      <c r="BL249" s="10">
        <v>0</v>
      </c>
      <c r="BM249" s="10">
        <v>1</v>
      </c>
      <c r="BN249" s="10">
        <v>0</v>
      </c>
      <c r="BO249" s="10">
        <v>3</v>
      </c>
      <c r="BP249" s="10">
        <v>4</v>
      </c>
      <c r="BQ249" s="10">
        <v>1</v>
      </c>
      <c r="BR249" s="10">
        <v>12</v>
      </c>
      <c r="BS249" s="10">
        <v>88</v>
      </c>
    </row>
    <row r="250" spans="1:71" x14ac:dyDescent="0.55000000000000004">
      <c r="A250" s="10">
        <v>558</v>
      </c>
      <c r="B250" s="10">
        <v>2022</v>
      </c>
      <c r="C250" s="10">
        <v>17303</v>
      </c>
      <c r="D250" s="10">
        <v>50303</v>
      </c>
      <c r="E250" s="10">
        <v>25399</v>
      </c>
      <c r="F250" s="10">
        <v>12600</v>
      </c>
      <c r="G250" s="10">
        <v>4384</v>
      </c>
      <c r="H250" s="10">
        <v>1827</v>
      </c>
      <c r="I250" s="10">
        <v>11117</v>
      </c>
      <c r="J250" s="10">
        <v>0</v>
      </c>
      <c r="K250" s="10">
        <v>1040</v>
      </c>
      <c r="L250" s="10">
        <v>1698</v>
      </c>
      <c r="M250" s="10">
        <v>6346</v>
      </c>
      <c r="N250" s="10">
        <v>0</v>
      </c>
      <c r="O250" s="10">
        <v>5068</v>
      </c>
      <c r="P250" s="10">
        <v>14935</v>
      </c>
      <c r="Q250" s="10">
        <v>1991</v>
      </c>
      <c r="R250" s="10">
        <v>0</v>
      </c>
      <c r="S250" s="10">
        <v>104733</v>
      </c>
      <c r="T250" s="10">
        <v>49278</v>
      </c>
      <c r="U250" s="10">
        <v>18.180199965323933</v>
      </c>
      <c r="V250" s="10">
        <v>24.894817406516509</v>
      </c>
      <c r="W250" s="10">
        <v>34</v>
      </c>
      <c r="X250" s="10">
        <v>22.840741761486672</v>
      </c>
      <c r="Y250" s="10">
        <v>42.871428571428574</v>
      </c>
      <c r="Z250" s="10">
        <v>16.805885036496349</v>
      </c>
      <c r="AA250" s="10">
        <v>17.362889983579638</v>
      </c>
      <c r="AB250" s="10">
        <v>30.050013492848787</v>
      </c>
      <c r="AC250" s="10">
        <v>0</v>
      </c>
      <c r="AD250" s="10">
        <v>47.321153846153848</v>
      </c>
      <c r="AE250" s="10">
        <v>22.335100117785629</v>
      </c>
      <c r="AF250" s="10">
        <v>32.559880239520957</v>
      </c>
      <c r="AG250" s="10">
        <v>0</v>
      </c>
      <c r="AH250" s="10">
        <v>31.429755327545383</v>
      </c>
      <c r="AI250" s="10">
        <v>44.846334114496152</v>
      </c>
      <c r="AJ250" s="10">
        <v>0</v>
      </c>
      <c r="AK250" s="10">
        <v>22.902059266700149</v>
      </c>
      <c r="AL250" s="10">
        <v>0</v>
      </c>
      <c r="AM250" s="10">
        <v>0</v>
      </c>
      <c r="AN250" s="10">
        <v>5</v>
      </c>
      <c r="AO250" s="10">
        <v>10</v>
      </c>
      <c r="AP250" s="10">
        <v>15</v>
      </c>
      <c r="AQ250" s="10">
        <v>7</v>
      </c>
      <c r="AR250" s="10">
        <v>3</v>
      </c>
      <c r="AS250" s="10">
        <v>1</v>
      </c>
      <c r="AT250" s="10">
        <v>5</v>
      </c>
      <c r="AU250" s="10">
        <v>1</v>
      </c>
      <c r="AV250" s="10">
        <v>0</v>
      </c>
      <c r="AW250" s="10">
        <v>1</v>
      </c>
      <c r="AX250" s="10">
        <v>1</v>
      </c>
      <c r="AY250" s="10">
        <v>0</v>
      </c>
      <c r="AZ250" s="10">
        <v>8</v>
      </c>
      <c r="BA250" s="10">
        <v>1</v>
      </c>
      <c r="BB250" s="10">
        <v>0</v>
      </c>
      <c r="BC250" s="10">
        <v>58</v>
      </c>
      <c r="BD250" s="10">
        <v>10</v>
      </c>
      <c r="BE250" s="10">
        <v>0</v>
      </c>
      <c r="BF250" s="10">
        <v>21</v>
      </c>
      <c r="BG250" s="10">
        <v>16</v>
      </c>
      <c r="BH250" s="10">
        <v>0</v>
      </c>
      <c r="BI250" s="10">
        <v>0</v>
      </c>
      <c r="BJ250" s="10">
        <v>0</v>
      </c>
      <c r="BK250" s="10">
        <v>0</v>
      </c>
      <c r="BL250" s="10">
        <v>0</v>
      </c>
      <c r="BM250" s="10">
        <v>0</v>
      </c>
      <c r="BN250" s="10">
        <v>0</v>
      </c>
      <c r="BO250" s="10">
        <v>0</v>
      </c>
      <c r="BP250" s="10">
        <v>2</v>
      </c>
      <c r="BQ250" s="10">
        <v>0</v>
      </c>
      <c r="BR250" s="10">
        <v>0</v>
      </c>
      <c r="BS250" s="10">
        <v>49</v>
      </c>
    </row>
    <row r="251" spans="1:71" x14ac:dyDescent="0.55000000000000004">
      <c r="A251" s="10">
        <v>607</v>
      </c>
      <c r="B251" s="10">
        <v>2022</v>
      </c>
      <c r="C251" s="10">
        <v>4658</v>
      </c>
      <c r="D251" s="10">
        <v>50850</v>
      </c>
      <c r="E251" s="10">
        <v>30417</v>
      </c>
      <c r="F251" s="10">
        <v>6129</v>
      </c>
      <c r="G251" s="10">
        <v>5315</v>
      </c>
      <c r="H251" s="10">
        <v>3</v>
      </c>
      <c r="I251" s="10">
        <v>8853</v>
      </c>
      <c r="J251" s="10">
        <v>0</v>
      </c>
      <c r="K251" s="10">
        <v>0</v>
      </c>
      <c r="L251" s="10">
        <v>4682</v>
      </c>
      <c r="M251" s="10">
        <v>10077</v>
      </c>
      <c r="N251" s="10">
        <v>1471</v>
      </c>
      <c r="O251" s="10">
        <v>833</v>
      </c>
      <c r="P251" s="10">
        <v>22680</v>
      </c>
      <c r="Q251" s="10">
        <v>3665</v>
      </c>
      <c r="R251" s="10">
        <v>18328</v>
      </c>
      <c r="S251" s="10">
        <v>125264</v>
      </c>
      <c r="T251" s="10">
        <v>42697</v>
      </c>
      <c r="U251" s="10">
        <v>19.910691283812795</v>
      </c>
      <c r="V251" s="10">
        <v>23.869734513274338</v>
      </c>
      <c r="W251" s="10">
        <v>0</v>
      </c>
      <c r="X251" s="10">
        <v>15.492422000854786</v>
      </c>
      <c r="Y251" s="10">
        <v>29.297764725077503</v>
      </c>
      <c r="Z251" s="10">
        <v>16.337158984007527</v>
      </c>
      <c r="AA251" s="10">
        <v>21.333333333333332</v>
      </c>
      <c r="AB251" s="10">
        <v>33.373771602846489</v>
      </c>
      <c r="AC251" s="10">
        <v>0</v>
      </c>
      <c r="AD251" s="10">
        <v>0</v>
      </c>
      <c r="AE251" s="10">
        <v>22.195856471593334</v>
      </c>
      <c r="AF251" s="10">
        <v>37.563659819390693</v>
      </c>
      <c r="AG251" s="10">
        <v>26.926580557443913</v>
      </c>
      <c r="AH251" s="10">
        <v>22.879951980792317</v>
      </c>
      <c r="AI251" s="10">
        <v>41.002513227513226</v>
      </c>
      <c r="AJ251" s="10">
        <v>0</v>
      </c>
      <c r="AK251" s="10">
        <v>26.007639836289222</v>
      </c>
      <c r="AL251" s="10">
        <v>26.394096464426017</v>
      </c>
      <c r="AM251" s="10">
        <v>0</v>
      </c>
      <c r="AN251" s="10">
        <v>3</v>
      </c>
      <c r="AO251" s="10">
        <v>5</v>
      </c>
      <c r="AP251" s="10">
        <v>17</v>
      </c>
      <c r="AQ251" s="10">
        <v>13</v>
      </c>
      <c r="AR251" s="10">
        <v>5</v>
      </c>
      <c r="AS251" s="10">
        <v>0</v>
      </c>
      <c r="AT251" s="10">
        <v>3</v>
      </c>
      <c r="AU251" s="10">
        <v>5</v>
      </c>
      <c r="AV251" s="10">
        <v>0</v>
      </c>
      <c r="AW251" s="10">
        <v>1</v>
      </c>
      <c r="AX251" s="10">
        <v>5</v>
      </c>
      <c r="AY251" s="10">
        <v>1</v>
      </c>
      <c r="AZ251" s="10">
        <v>10</v>
      </c>
      <c r="BA251" s="10">
        <v>3</v>
      </c>
      <c r="BB251" s="10">
        <v>7</v>
      </c>
      <c r="BC251" s="10">
        <v>78</v>
      </c>
      <c r="BD251" s="10">
        <v>2</v>
      </c>
      <c r="BE251" s="10">
        <v>2</v>
      </c>
      <c r="BF251" s="10">
        <v>7</v>
      </c>
      <c r="BG251" s="10">
        <v>32</v>
      </c>
      <c r="BH251" s="10">
        <v>0</v>
      </c>
      <c r="BI251" s="10">
        <v>0</v>
      </c>
      <c r="BJ251" s="10">
        <v>1</v>
      </c>
      <c r="BK251" s="10">
        <v>0</v>
      </c>
      <c r="BL251" s="10">
        <v>0</v>
      </c>
      <c r="BM251" s="10">
        <v>2</v>
      </c>
      <c r="BN251" s="10">
        <v>0</v>
      </c>
      <c r="BO251" s="10">
        <v>0</v>
      </c>
      <c r="BP251" s="10">
        <v>3</v>
      </c>
      <c r="BQ251" s="10">
        <v>0</v>
      </c>
      <c r="BR251" s="10">
        <v>2</v>
      </c>
      <c r="BS251" s="10">
        <v>51</v>
      </c>
    </row>
    <row r="252" spans="1:71" x14ac:dyDescent="0.55000000000000004">
      <c r="A252" s="10">
        <v>381</v>
      </c>
      <c r="B252" s="10">
        <v>2022</v>
      </c>
      <c r="C252" s="10">
        <v>6666</v>
      </c>
      <c r="D252" s="10">
        <v>51164</v>
      </c>
      <c r="E252" s="10">
        <v>21200</v>
      </c>
      <c r="F252" s="10">
        <v>16732</v>
      </c>
      <c r="G252" s="10">
        <v>10422</v>
      </c>
      <c r="H252" s="10">
        <v>1262</v>
      </c>
      <c r="I252" s="10">
        <v>34697</v>
      </c>
      <c r="J252" s="10">
        <v>0</v>
      </c>
      <c r="K252" s="10">
        <v>0</v>
      </c>
      <c r="L252" s="10">
        <v>5891</v>
      </c>
      <c r="M252" s="10">
        <v>15629</v>
      </c>
      <c r="N252" s="10">
        <v>0</v>
      </c>
      <c r="O252" s="10">
        <v>6532</v>
      </c>
      <c r="P252" s="10">
        <v>24834</v>
      </c>
      <c r="Q252" s="10">
        <v>4206</v>
      </c>
      <c r="R252" s="10">
        <v>3251</v>
      </c>
      <c r="S252" s="10">
        <v>146338</v>
      </c>
      <c r="T252" s="10">
        <v>56148</v>
      </c>
      <c r="U252" s="10">
        <v>18.812031203120313</v>
      </c>
      <c r="V252" s="10">
        <v>22.752736298960205</v>
      </c>
      <c r="W252" s="10">
        <v>0</v>
      </c>
      <c r="X252" s="10">
        <v>16.504245283018868</v>
      </c>
      <c r="Y252" s="10">
        <v>16.433420989720297</v>
      </c>
      <c r="Z252" s="10">
        <v>16.708597198234504</v>
      </c>
      <c r="AA252" s="10">
        <v>16.197305863708397</v>
      </c>
      <c r="AB252" s="10">
        <v>29.479695650920828</v>
      </c>
      <c r="AC252" s="10">
        <v>0</v>
      </c>
      <c r="AD252" s="10">
        <v>0</v>
      </c>
      <c r="AE252" s="10">
        <v>20.603293159056186</v>
      </c>
      <c r="AF252" s="10">
        <v>33.655128287158483</v>
      </c>
      <c r="AG252" s="10">
        <v>0</v>
      </c>
      <c r="AH252" s="10">
        <v>23.269136558481321</v>
      </c>
      <c r="AI252" s="10">
        <v>35.962954014657328</v>
      </c>
      <c r="AJ252" s="10">
        <v>0</v>
      </c>
      <c r="AK252" s="10">
        <v>27.500237755587253</v>
      </c>
      <c r="AL252" s="10">
        <v>24.335281451860965</v>
      </c>
      <c r="AM252" s="10">
        <v>0</v>
      </c>
      <c r="AN252" s="10">
        <v>2</v>
      </c>
      <c r="AO252" s="10">
        <v>8</v>
      </c>
      <c r="AP252" s="10">
        <v>18</v>
      </c>
      <c r="AQ252" s="10">
        <v>6</v>
      </c>
      <c r="AR252" s="10">
        <v>0</v>
      </c>
      <c r="AS252" s="10">
        <v>0</v>
      </c>
      <c r="AT252" s="10">
        <v>10</v>
      </c>
      <c r="AU252" s="10">
        <v>3</v>
      </c>
      <c r="AV252" s="10">
        <v>0</v>
      </c>
      <c r="AW252" s="10">
        <v>3</v>
      </c>
      <c r="AX252" s="10">
        <v>8</v>
      </c>
      <c r="AY252" s="10">
        <v>0</v>
      </c>
      <c r="AZ252" s="10">
        <v>8</v>
      </c>
      <c r="BA252" s="10">
        <v>3</v>
      </c>
      <c r="BB252" s="10">
        <v>1</v>
      </c>
      <c r="BC252" s="10">
        <v>70</v>
      </c>
      <c r="BD252" s="10">
        <v>2</v>
      </c>
      <c r="BE252" s="10">
        <v>0</v>
      </c>
      <c r="BF252" s="10">
        <v>14</v>
      </c>
      <c r="BG252" s="10">
        <v>8</v>
      </c>
      <c r="BH252" s="10">
        <v>0</v>
      </c>
      <c r="BI252" s="10">
        <v>0</v>
      </c>
      <c r="BJ252" s="10">
        <v>9</v>
      </c>
      <c r="BK252" s="10">
        <v>1</v>
      </c>
      <c r="BL252" s="10">
        <v>0</v>
      </c>
      <c r="BM252" s="10">
        <v>1</v>
      </c>
      <c r="BN252" s="10">
        <v>0</v>
      </c>
      <c r="BO252" s="10">
        <v>0</v>
      </c>
      <c r="BP252" s="10">
        <v>3</v>
      </c>
      <c r="BQ252" s="10">
        <v>0</v>
      </c>
      <c r="BR252" s="10">
        <v>0</v>
      </c>
      <c r="BS252" s="10">
        <v>38</v>
      </c>
    </row>
    <row r="253" spans="1:71" x14ac:dyDescent="0.55000000000000004">
      <c r="A253" s="10">
        <v>376</v>
      </c>
      <c r="B253" s="10">
        <v>2022</v>
      </c>
      <c r="C253" s="10">
        <v>5850</v>
      </c>
      <c r="D253" s="10">
        <v>51449</v>
      </c>
      <c r="E253" s="10">
        <v>25362</v>
      </c>
      <c r="F253" s="10">
        <v>9086</v>
      </c>
      <c r="G253" s="10">
        <v>9712</v>
      </c>
      <c r="H253" s="10">
        <v>1369</v>
      </c>
      <c r="I253" s="10">
        <v>18329</v>
      </c>
      <c r="J253" s="10">
        <v>0</v>
      </c>
      <c r="K253" s="10">
        <v>0</v>
      </c>
      <c r="L253" s="10">
        <v>6554</v>
      </c>
      <c r="M253" s="10">
        <v>14714</v>
      </c>
      <c r="N253" s="10">
        <v>4455</v>
      </c>
      <c r="O253" s="10">
        <v>3427</v>
      </c>
      <c r="P253" s="10">
        <v>12805</v>
      </c>
      <c r="Q253" s="10">
        <v>3282</v>
      </c>
      <c r="R253" s="10">
        <v>1587</v>
      </c>
      <c r="S253" s="10">
        <v>119025</v>
      </c>
      <c r="T253" s="10">
        <v>48956</v>
      </c>
      <c r="U253" s="10">
        <v>16.680341880341878</v>
      </c>
      <c r="V253" s="10">
        <v>22.81505957355828</v>
      </c>
      <c r="W253" s="10">
        <v>46.837593984962403</v>
      </c>
      <c r="X253" s="10">
        <v>18.888100307546726</v>
      </c>
      <c r="Y253" s="10">
        <v>30.720008804754567</v>
      </c>
      <c r="Z253" s="10">
        <v>18.86017298187809</v>
      </c>
      <c r="AA253" s="10">
        <v>13.235208181154126</v>
      </c>
      <c r="AB253" s="10">
        <v>33.053903649953625</v>
      </c>
      <c r="AC253" s="10">
        <v>62.974125732767334</v>
      </c>
      <c r="AD253" s="10">
        <v>0</v>
      </c>
      <c r="AE253" s="10">
        <v>26.905096124504116</v>
      </c>
      <c r="AF253" s="10">
        <v>38.759684654070952</v>
      </c>
      <c r="AG253" s="10">
        <v>17.45432098765432</v>
      </c>
      <c r="AH253" s="10">
        <v>21.801867522614529</v>
      </c>
      <c r="AI253" s="10">
        <v>38.604060913705581</v>
      </c>
      <c r="AJ253" s="10">
        <v>66.602840352595493</v>
      </c>
      <c r="AK253" s="10">
        <v>26.363802559414992</v>
      </c>
      <c r="AL253" s="10">
        <v>20.913043478260871</v>
      </c>
      <c r="AM253" s="10">
        <v>0</v>
      </c>
      <c r="AN253" s="10">
        <v>2</v>
      </c>
      <c r="AO253" s="10">
        <v>4</v>
      </c>
      <c r="AP253" s="10">
        <v>17</v>
      </c>
      <c r="AQ253" s="10">
        <v>7</v>
      </c>
      <c r="AR253" s="10">
        <v>4</v>
      </c>
      <c r="AS253" s="10">
        <v>0</v>
      </c>
      <c r="AT253" s="10">
        <v>5</v>
      </c>
      <c r="AU253" s="10">
        <v>1</v>
      </c>
      <c r="AV253" s="10">
        <v>0</v>
      </c>
      <c r="AW253" s="10">
        <v>3</v>
      </c>
      <c r="AX253" s="10">
        <v>7</v>
      </c>
      <c r="AY253" s="10">
        <v>0</v>
      </c>
      <c r="AZ253" s="10">
        <v>6</v>
      </c>
      <c r="BA253" s="10">
        <v>2</v>
      </c>
      <c r="BB253" s="10">
        <v>0</v>
      </c>
      <c r="BC253" s="10">
        <v>58</v>
      </c>
      <c r="BD253" s="10">
        <v>2</v>
      </c>
      <c r="BE253" s="10">
        <v>1</v>
      </c>
      <c r="BF253" s="10">
        <v>10</v>
      </c>
      <c r="BG253" s="10">
        <v>17</v>
      </c>
      <c r="BH253" s="10">
        <v>1</v>
      </c>
      <c r="BI253" s="10">
        <v>1</v>
      </c>
      <c r="BJ253" s="10">
        <v>2</v>
      </c>
      <c r="BK253" s="10">
        <v>1</v>
      </c>
      <c r="BL253" s="10">
        <v>0</v>
      </c>
      <c r="BM253" s="10">
        <v>0</v>
      </c>
      <c r="BN253" s="10">
        <v>0</v>
      </c>
      <c r="BO253" s="10">
        <v>1</v>
      </c>
      <c r="BP253" s="10">
        <v>1</v>
      </c>
      <c r="BQ253" s="10">
        <v>0</v>
      </c>
      <c r="BR253" s="10">
        <v>1</v>
      </c>
      <c r="BS253" s="10">
        <v>38</v>
      </c>
    </row>
    <row r="254" spans="1:71" x14ac:dyDescent="0.55000000000000004">
      <c r="A254" s="10">
        <v>787</v>
      </c>
      <c r="B254" s="10">
        <v>2022</v>
      </c>
      <c r="C254" s="10">
        <v>6685</v>
      </c>
      <c r="D254" s="10">
        <v>51580</v>
      </c>
      <c r="E254" s="10">
        <v>17712</v>
      </c>
      <c r="F254" s="10">
        <v>7546</v>
      </c>
      <c r="G254" s="10">
        <v>9012</v>
      </c>
      <c r="H254" s="10">
        <v>4112</v>
      </c>
      <c r="I254" s="10">
        <v>9736</v>
      </c>
      <c r="J254" s="10">
        <v>0</v>
      </c>
      <c r="K254" s="10">
        <v>0</v>
      </c>
      <c r="L254" s="10">
        <v>4551</v>
      </c>
      <c r="M254" s="10">
        <v>7991</v>
      </c>
      <c r="N254" s="10">
        <v>0</v>
      </c>
      <c r="O254" s="10">
        <v>1429</v>
      </c>
      <c r="P254" s="10">
        <v>20940</v>
      </c>
      <c r="Q254" s="10">
        <v>2609</v>
      </c>
      <c r="R254" s="10">
        <v>4774</v>
      </c>
      <c r="S254" s="10">
        <v>108866</v>
      </c>
      <c r="T254" s="10">
        <v>39811</v>
      </c>
      <c r="U254" s="10">
        <v>20.284667165295435</v>
      </c>
      <c r="V254" s="10">
        <v>24.314113997673516</v>
      </c>
      <c r="W254" s="10">
        <v>0</v>
      </c>
      <c r="X254" s="10">
        <v>20.114216350496839</v>
      </c>
      <c r="Y254" s="10">
        <v>31.782666313278558</v>
      </c>
      <c r="Z254" s="10">
        <v>18.540945406125164</v>
      </c>
      <c r="AA254" s="10">
        <v>18.703550583657588</v>
      </c>
      <c r="AB254" s="10">
        <v>31.220932621199669</v>
      </c>
      <c r="AC254" s="10">
        <v>0</v>
      </c>
      <c r="AD254" s="10">
        <v>0</v>
      </c>
      <c r="AE254" s="10">
        <v>20.560096682047902</v>
      </c>
      <c r="AF254" s="10">
        <v>43.314353647853835</v>
      </c>
      <c r="AG254" s="10">
        <v>0</v>
      </c>
      <c r="AH254" s="10">
        <v>17.074177746675996</v>
      </c>
      <c r="AI254" s="10">
        <v>36.751671442215851</v>
      </c>
      <c r="AJ254" s="10">
        <v>0</v>
      </c>
      <c r="AK254" s="10">
        <v>20.527021847451127</v>
      </c>
      <c r="AL254" s="10">
        <v>24.770842061164643</v>
      </c>
      <c r="AM254" s="10">
        <v>0</v>
      </c>
      <c r="AN254" s="10">
        <v>2</v>
      </c>
      <c r="AO254" s="10">
        <v>3</v>
      </c>
      <c r="AP254" s="10">
        <v>16</v>
      </c>
      <c r="AQ254" s="10">
        <v>6</v>
      </c>
      <c r="AR254" s="10">
        <v>0</v>
      </c>
      <c r="AS254" s="10">
        <v>0</v>
      </c>
      <c r="AT254" s="10">
        <v>4</v>
      </c>
      <c r="AU254" s="10">
        <v>1</v>
      </c>
      <c r="AV254" s="10">
        <v>0</v>
      </c>
      <c r="AW254" s="10">
        <v>2</v>
      </c>
      <c r="AX254" s="10">
        <v>0</v>
      </c>
      <c r="AY254" s="10">
        <v>0</v>
      </c>
      <c r="AZ254" s="10">
        <v>4</v>
      </c>
      <c r="BA254" s="10">
        <v>2</v>
      </c>
      <c r="BB254" s="10">
        <v>2</v>
      </c>
      <c r="BC254" s="10">
        <v>42</v>
      </c>
      <c r="BD254" s="10">
        <v>1</v>
      </c>
      <c r="BE254" s="10">
        <v>0</v>
      </c>
      <c r="BF254" s="10">
        <v>8</v>
      </c>
      <c r="BG254" s="10">
        <v>1</v>
      </c>
      <c r="BH254" s="10">
        <v>0</v>
      </c>
      <c r="BI254" s="10">
        <v>0</v>
      </c>
      <c r="BJ254" s="10">
        <v>1</v>
      </c>
      <c r="BK254" s="10">
        <v>0</v>
      </c>
      <c r="BL254" s="10">
        <v>0</v>
      </c>
      <c r="BM254" s="10">
        <v>0</v>
      </c>
      <c r="BN254" s="10">
        <v>0</v>
      </c>
      <c r="BO254" s="10">
        <v>0</v>
      </c>
      <c r="BP254" s="10">
        <v>0</v>
      </c>
      <c r="BQ254" s="10">
        <v>0</v>
      </c>
      <c r="BR254" s="10">
        <v>0</v>
      </c>
      <c r="BS254" s="10">
        <v>11</v>
      </c>
    </row>
    <row r="255" spans="1:71" x14ac:dyDescent="0.55000000000000004">
      <c r="A255" s="10">
        <v>261</v>
      </c>
      <c r="B255" s="10">
        <v>2022</v>
      </c>
      <c r="C255" s="10">
        <v>6779</v>
      </c>
      <c r="D255" s="10">
        <v>51749</v>
      </c>
      <c r="E255" s="10">
        <v>21414</v>
      </c>
      <c r="F255" s="10">
        <v>14352</v>
      </c>
      <c r="G255" s="10">
        <v>14644</v>
      </c>
      <c r="H255" s="10">
        <v>2230</v>
      </c>
      <c r="I255" s="10">
        <v>17683</v>
      </c>
      <c r="J255" s="10">
        <v>0</v>
      </c>
      <c r="K255" s="10">
        <v>0</v>
      </c>
      <c r="L255" s="10">
        <v>3982</v>
      </c>
      <c r="M255" s="10">
        <v>10270</v>
      </c>
      <c r="N255" s="10">
        <v>0</v>
      </c>
      <c r="O255" s="10">
        <v>6731</v>
      </c>
      <c r="P255" s="10">
        <v>20937</v>
      </c>
      <c r="Q255" s="10">
        <v>6170</v>
      </c>
      <c r="R255" s="10">
        <v>15316</v>
      </c>
      <c r="S255" s="10">
        <v>132886</v>
      </c>
      <c r="T255" s="10">
        <v>59371</v>
      </c>
      <c r="U255" s="10">
        <v>19.116831391060629</v>
      </c>
      <c r="V255" s="10">
        <v>23.001487951458</v>
      </c>
      <c r="W255" s="10">
        <v>69.170370370370364</v>
      </c>
      <c r="X255" s="10">
        <v>12.932707574483981</v>
      </c>
      <c r="Y255" s="10">
        <v>21.928929765886288</v>
      </c>
      <c r="Z255" s="10">
        <v>15.875717017208414</v>
      </c>
      <c r="AA255" s="10">
        <v>14.332286995515695</v>
      </c>
      <c r="AB255" s="10">
        <v>27.090256178250296</v>
      </c>
      <c r="AC255" s="10">
        <v>51.230769230769226</v>
      </c>
      <c r="AD255" s="10">
        <v>0</v>
      </c>
      <c r="AE255" s="10">
        <v>22.446258161727776</v>
      </c>
      <c r="AF255" s="10">
        <v>51.158714703018497</v>
      </c>
      <c r="AG255" s="10">
        <v>0</v>
      </c>
      <c r="AH255" s="10">
        <v>31.733917694250479</v>
      </c>
      <c r="AI255" s="10">
        <v>37.235993695371832</v>
      </c>
      <c r="AJ255" s="10">
        <v>65.757142857142853</v>
      </c>
      <c r="AK255" s="10">
        <v>25.278444084278767</v>
      </c>
      <c r="AL255" s="10">
        <v>24.856424653956644</v>
      </c>
      <c r="AM255" s="10">
        <v>0</v>
      </c>
      <c r="AN255" s="10">
        <v>4</v>
      </c>
      <c r="AO255" s="10">
        <v>5</v>
      </c>
      <c r="AP255" s="10">
        <v>15</v>
      </c>
      <c r="AQ255" s="10">
        <v>11</v>
      </c>
      <c r="AR255" s="10">
        <v>0</v>
      </c>
      <c r="AS255" s="10">
        <v>0</v>
      </c>
      <c r="AT255" s="10">
        <v>7</v>
      </c>
      <c r="AU255" s="10">
        <v>3</v>
      </c>
      <c r="AV255" s="10">
        <v>0</v>
      </c>
      <c r="AW255" s="10">
        <v>2</v>
      </c>
      <c r="AX255" s="10">
        <v>6</v>
      </c>
      <c r="AY255" s="10">
        <v>0</v>
      </c>
      <c r="AZ255" s="10">
        <v>5</v>
      </c>
      <c r="BA255" s="10">
        <v>4</v>
      </c>
      <c r="BB255" s="10">
        <v>6</v>
      </c>
      <c r="BC255" s="10">
        <v>68</v>
      </c>
      <c r="BD255" s="10">
        <v>1</v>
      </c>
      <c r="BE255" s="10">
        <v>1</v>
      </c>
      <c r="BF255" s="10">
        <v>10</v>
      </c>
      <c r="BG255" s="10">
        <v>14</v>
      </c>
      <c r="BH255" s="10">
        <v>0</v>
      </c>
      <c r="BI255" s="10">
        <v>0</v>
      </c>
      <c r="BJ255" s="10">
        <v>1</v>
      </c>
      <c r="BK255" s="10">
        <v>0</v>
      </c>
      <c r="BL255" s="10">
        <v>0</v>
      </c>
      <c r="BM255" s="10">
        <v>0</v>
      </c>
      <c r="BN255" s="10">
        <v>0</v>
      </c>
      <c r="BO255" s="10">
        <v>0</v>
      </c>
      <c r="BP255" s="10">
        <v>1</v>
      </c>
      <c r="BQ255" s="10">
        <v>0</v>
      </c>
      <c r="BR255" s="10">
        <v>2</v>
      </c>
      <c r="BS255" s="10">
        <v>30</v>
      </c>
    </row>
    <row r="256" spans="1:71" x14ac:dyDescent="0.55000000000000004">
      <c r="A256" s="10">
        <v>272</v>
      </c>
      <c r="B256" s="10">
        <v>2022</v>
      </c>
      <c r="C256" s="10">
        <v>3173</v>
      </c>
      <c r="D256" s="10">
        <v>52540</v>
      </c>
      <c r="E256" s="10">
        <v>22655</v>
      </c>
      <c r="F256" s="10">
        <v>6676</v>
      </c>
      <c r="G256" s="10">
        <v>0</v>
      </c>
      <c r="H256" s="10">
        <v>0</v>
      </c>
      <c r="I256" s="10">
        <v>27520</v>
      </c>
      <c r="J256" s="10">
        <v>72</v>
      </c>
      <c r="K256" s="10">
        <v>0</v>
      </c>
      <c r="L256" s="10">
        <v>6720</v>
      </c>
      <c r="M256" s="10">
        <v>7553</v>
      </c>
      <c r="N256" s="10">
        <v>0</v>
      </c>
      <c r="O256" s="10">
        <v>3767</v>
      </c>
      <c r="P256" s="10">
        <v>13544</v>
      </c>
      <c r="Q256" s="10">
        <v>4463</v>
      </c>
      <c r="R256" s="10">
        <v>2605</v>
      </c>
      <c r="S256" s="10">
        <v>118190</v>
      </c>
      <c r="T256" s="10">
        <v>33098</v>
      </c>
      <c r="U256" s="10">
        <v>22.184998424204224</v>
      </c>
      <c r="V256" s="10">
        <v>24.033022459078797</v>
      </c>
      <c r="W256" s="10">
        <v>32.830630099282416</v>
      </c>
      <c r="X256" s="10">
        <v>20.497770911498566</v>
      </c>
      <c r="Y256" s="10">
        <v>27.007938885560215</v>
      </c>
      <c r="Z256" s="10">
        <v>0</v>
      </c>
      <c r="AA256" s="10">
        <v>0</v>
      </c>
      <c r="AB256" s="10">
        <v>34.304033430232558</v>
      </c>
      <c r="AC256" s="10">
        <v>49.074847693646646</v>
      </c>
      <c r="AD256" s="10">
        <v>0</v>
      </c>
      <c r="AE256" s="10">
        <v>24.835267857142856</v>
      </c>
      <c r="AF256" s="10">
        <v>46.967562557923998</v>
      </c>
      <c r="AG256" s="10">
        <v>0</v>
      </c>
      <c r="AH256" s="10">
        <v>24.386514467746213</v>
      </c>
      <c r="AI256" s="10">
        <v>42.388733018310695</v>
      </c>
      <c r="AJ256" s="10">
        <v>60.647679324894511</v>
      </c>
      <c r="AK256" s="10">
        <v>30.334080215101952</v>
      </c>
      <c r="AL256" s="10">
        <v>24.891362763915545</v>
      </c>
      <c r="AM256" s="10">
        <v>0</v>
      </c>
      <c r="AN256" s="10">
        <v>2</v>
      </c>
      <c r="AO256" s="10">
        <v>3</v>
      </c>
      <c r="AP256" s="10">
        <v>18</v>
      </c>
      <c r="AQ256" s="10">
        <v>8</v>
      </c>
      <c r="AR256" s="10">
        <v>0</v>
      </c>
      <c r="AS256" s="10">
        <v>0</v>
      </c>
      <c r="AT256" s="10">
        <v>9</v>
      </c>
      <c r="AU256" s="10">
        <v>2</v>
      </c>
      <c r="AV256" s="10">
        <v>0</v>
      </c>
      <c r="AW256" s="10">
        <v>3</v>
      </c>
      <c r="AX256" s="10">
        <v>3</v>
      </c>
      <c r="AY256" s="10">
        <v>0</v>
      </c>
      <c r="AZ256" s="10">
        <v>4</v>
      </c>
      <c r="BA256" s="10">
        <v>2</v>
      </c>
      <c r="BB256" s="10">
        <v>1</v>
      </c>
      <c r="BC256" s="10">
        <v>55</v>
      </c>
      <c r="BD256" s="10">
        <v>0</v>
      </c>
      <c r="BE256" s="10">
        <v>0</v>
      </c>
      <c r="BF256" s="10">
        <v>1</v>
      </c>
      <c r="BG256" s="10">
        <v>1</v>
      </c>
      <c r="BH256" s="10">
        <v>0</v>
      </c>
      <c r="BI256" s="10">
        <v>0</v>
      </c>
      <c r="BJ256" s="10">
        <v>2</v>
      </c>
      <c r="BK256" s="10">
        <v>0</v>
      </c>
      <c r="BL256" s="10">
        <v>0</v>
      </c>
      <c r="BM256" s="10">
        <v>0</v>
      </c>
      <c r="BN256" s="10">
        <v>0</v>
      </c>
      <c r="BO256" s="10">
        <v>0</v>
      </c>
      <c r="BP256" s="10">
        <v>2</v>
      </c>
      <c r="BQ256" s="10">
        <v>0</v>
      </c>
      <c r="BR256" s="10">
        <v>0</v>
      </c>
      <c r="BS256" s="10">
        <v>6</v>
      </c>
    </row>
    <row r="257" spans="1:71" x14ac:dyDescent="0.55000000000000004">
      <c r="A257" s="10">
        <v>654</v>
      </c>
      <c r="B257" s="10">
        <v>2022</v>
      </c>
      <c r="C257" s="10">
        <v>6746</v>
      </c>
      <c r="D257" s="10">
        <v>52732</v>
      </c>
      <c r="E257" s="10">
        <v>15585</v>
      </c>
      <c r="F257" s="10">
        <v>10680</v>
      </c>
      <c r="G257" s="10">
        <v>5308</v>
      </c>
      <c r="H257" s="10">
        <v>5107</v>
      </c>
      <c r="I257" s="10">
        <v>16652</v>
      </c>
      <c r="J257" s="10">
        <v>0</v>
      </c>
      <c r="K257" s="10">
        <v>0</v>
      </c>
      <c r="L257" s="10">
        <v>2004</v>
      </c>
      <c r="M257" s="10">
        <v>2080</v>
      </c>
      <c r="N257" s="10">
        <v>3960</v>
      </c>
      <c r="O257" s="10">
        <v>2737</v>
      </c>
      <c r="P257" s="10">
        <v>16444</v>
      </c>
      <c r="Q257" s="10">
        <v>2155</v>
      </c>
      <c r="R257" s="10">
        <v>888</v>
      </c>
      <c r="S257" s="10">
        <v>103661</v>
      </c>
      <c r="T257" s="10">
        <v>39417</v>
      </c>
      <c r="U257" s="10">
        <v>20.463830418025495</v>
      </c>
      <c r="V257" s="10">
        <v>23.753394523249636</v>
      </c>
      <c r="W257" s="10">
        <v>0</v>
      </c>
      <c r="X257" s="10">
        <v>20.077574590952842</v>
      </c>
      <c r="Y257" s="10">
        <v>28.424719101123593</v>
      </c>
      <c r="Z257" s="10">
        <v>16.717784476262246</v>
      </c>
      <c r="AA257" s="10">
        <v>21.039357744272568</v>
      </c>
      <c r="AB257" s="10">
        <v>24.184722555849149</v>
      </c>
      <c r="AC257" s="10">
        <v>0</v>
      </c>
      <c r="AD257" s="10">
        <v>0</v>
      </c>
      <c r="AE257" s="10">
        <v>21.661676646706589</v>
      </c>
      <c r="AF257" s="10">
        <v>53.353846153846149</v>
      </c>
      <c r="AG257" s="10">
        <v>19.396464646464647</v>
      </c>
      <c r="AH257" s="10">
        <v>33.678114724150525</v>
      </c>
      <c r="AI257" s="10">
        <v>37.747628314278764</v>
      </c>
      <c r="AJ257" s="10">
        <v>0</v>
      </c>
      <c r="AK257" s="10">
        <v>30.88399071925754</v>
      </c>
      <c r="AL257" s="10">
        <v>23.708333333333332</v>
      </c>
      <c r="AM257" s="10">
        <v>0</v>
      </c>
      <c r="AN257" s="10">
        <v>4</v>
      </c>
      <c r="AO257" s="10">
        <v>6</v>
      </c>
      <c r="AP257" s="10">
        <v>21</v>
      </c>
      <c r="AQ257" s="10">
        <v>7</v>
      </c>
      <c r="AR257" s="10">
        <v>0</v>
      </c>
      <c r="AS257" s="10">
        <v>1</v>
      </c>
      <c r="AT257" s="10">
        <v>4</v>
      </c>
      <c r="AU257" s="10">
        <v>2</v>
      </c>
      <c r="AV257" s="10">
        <v>0</v>
      </c>
      <c r="AW257" s="10">
        <v>1</v>
      </c>
      <c r="AX257" s="10">
        <v>1</v>
      </c>
      <c r="AY257" s="10">
        <v>0</v>
      </c>
      <c r="AZ257" s="10">
        <v>9</v>
      </c>
      <c r="BA257" s="10">
        <v>2</v>
      </c>
      <c r="BB257" s="10">
        <v>0</v>
      </c>
      <c r="BC257" s="10">
        <v>58</v>
      </c>
      <c r="BD257" s="10">
        <v>0</v>
      </c>
      <c r="BE257" s="10">
        <v>0</v>
      </c>
      <c r="BF257" s="10">
        <v>20</v>
      </c>
      <c r="BG257" s="10">
        <v>7</v>
      </c>
      <c r="BH257" s="10">
        <v>4</v>
      </c>
      <c r="BI257" s="10">
        <v>2</v>
      </c>
      <c r="BJ257" s="10">
        <v>7</v>
      </c>
      <c r="BK257" s="10">
        <v>0</v>
      </c>
      <c r="BL257" s="10">
        <v>0</v>
      </c>
      <c r="BM257" s="10">
        <v>1</v>
      </c>
      <c r="BN257" s="10">
        <v>0</v>
      </c>
      <c r="BO257" s="10">
        <v>5</v>
      </c>
      <c r="BP257" s="10">
        <v>1</v>
      </c>
      <c r="BQ257" s="10">
        <v>0</v>
      </c>
      <c r="BR257" s="10">
        <v>0</v>
      </c>
      <c r="BS257" s="10">
        <v>47</v>
      </c>
    </row>
    <row r="258" spans="1:71" x14ac:dyDescent="0.55000000000000004">
      <c r="A258" s="10">
        <v>382</v>
      </c>
      <c r="B258" s="10">
        <v>2022</v>
      </c>
      <c r="C258" s="10">
        <v>8563</v>
      </c>
      <c r="D258" s="10">
        <v>52872</v>
      </c>
      <c r="E258" s="10">
        <v>31582</v>
      </c>
      <c r="F258" s="10">
        <v>5615</v>
      </c>
      <c r="G258" s="10">
        <v>9381</v>
      </c>
      <c r="H258" s="10">
        <v>0</v>
      </c>
      <c r="I258" s="10">
        <v>13646</v>
      </c>
      <c r="J258" s="10">
        <v>0</v>
      </c>
      <c r="K258" s="10">
        <v>0</v>
      </c>
      <c r="L258" s="10">
        <v>5538</v>
      </c>
      <c r="M258" s="10">
        <v>4365</v>
      </c>
      <c r="N258" s="10">
        <v>3192</v>
      </c>
      <c r="O258" s="10">
        <v>7995</v>
      </c>
      <c r="P258" s="10">
        <v>23531</v>
      </c>
      <c r="Q258" s="10">
        <v>2433</v>
      </c>
      <c r="R258" s="10">
        <v>20260</v>
      </c>
      <c r="S258" s="10">
        <v>134400</v>
      </c>
      <c r="T258" s="10">
        <v>54573</v>
      </c>
      <c r="U258" s="10">
        <v>18.908326521079061</v>
      </c>
      <c r="V258" s="10">
        <v>20.952356634891814</v>
      </c>
      <c r="W258" s="10">
        <v>34.098823788061999</v>
      </c>
      <c r="X258" s="10">
        <v>17.714964220125388</v>
      </c>
      <c r="Y258" s="10">
        <v>30.852181656277825</v>
      </c>
      <c r="Z258" s="10">
        <v>17.219486195501545</v>
      </c>
      <c r="AA258" s="10">
        <v>0</v>
      </c>
      <c r="AB258" s="10">
        <v>26.525135570863256</v>
      </c>
      <c r="AC258" s="10">
        <v>48.922155688622759</v>
      </c>
      <c r="AD258" s="10">
        <v>0</v>
      </c>
      <c r="AE258" s="10">
        <v>27.391115926327192</v>
      </c>
      <c r="AF258" s="10">
        <v>40.962199312714773</v>
      </c>
      <c r="AG258" s="10">
        <v>21.46240601503759</v>
      </c>
      <c r="AH258" s="10">
        <v>20.863664790494056</v>
      </c>
      <c r="AI258" s="10">
        <v>35.363945433683227</v>
      </c>
      <c r="AJ258" s="10">
        <v>62.355166051660518</v>
      </c>
      <c r="AK258" s="10">
        <v>24.0891903000411</v>
      </c>
      <c r="AL258" s="10">
        <v>30.158292201382032</v>
      </c>
      <c r="AM258" s="10">
        <v>0</v>
      </c>
      <c r="AN258" s="10">
        <v>4</v>
      </c>
      <c r="AO258" s="10">
        <v>3</v>
      </c>
      <c r="AP258" s="10">
        <v>6</v>
      </c>
      <c r="AQ258" s="10">
        <v>11</v>
      </c>
      <c r="AR258" s="10">
        <v>4</v>
      </c>
      <c r="AS258" s="10">
        <v>0</v>
      </c>
      <c r="AT258" s="10">
        <v>6</v>
      </c>
      <c r="AU258" s="10">
        <v>4</v>
      </c>
      <c r="AV258" s="10">
        <v>0</v>
      </c>
      <c r="AW258" s="10">
        <v>2</v>
      </c>
      <c r="AX258" s="10">
        <v>3</v>
      </c>
      <c r="AY258" s="10">
        <v>0</v>
      </c>
      <c r="AZ258" s="10">
        <v>5</v>
      </c>
      <c r="BA258" s="10">
        <v>1</v>
      </c>
      <c r="BB258" s="10">
        <v>7</v>
      </c>
      <c r="BC258" s="10">
        <v>56</v>
      </c>
      <c r="BD258" s="10">
        <v>3</v>
      </c>
      <c r="BE258" s="10">
        <v>0</v>
      </c>
      <c r="BF258" s="10">
        <v>39</v>
      </c>
      <c r="BG258" s="10">
        <v>18</v>
      </c>
      <c r="BH258" s="10">
        <v>1</v>
      </c>
      <c r="BI258" s="10">
        <v>0</v>
      </c>
      <c r="BJ258" s="10">
        <v>3</v>
      </c>
      <c r="BK258" s="10">
        <v>1</v>
      </c>
      <c r="BL258" s="10">
        <v>0</v>
      </c>
      <c r="BM258" s="10">
        <v>0</v>
      </c>
      <c r="BN258" s="10">
        <v>0</v>
      </c>
      <c r="BO258" s="10">
        <v>0</v>
      </c>
      <c r="BP258" s="10">
        <v>2</v>
      </c>
      <c r="BQ258" s="10">
        <v>0</v>
      </c>
      <c r="BR258" s="10">
        <v>4</v>
      </c>
      <c r="BS258" s="10">
        <v>71</v>
      </c>
    </row>
    <row r="259" spans="1:71" x14ac:dyDescent="0.55000000000000004">
      <c r="A259" s="10">
        <v>487</v>
      </c>
      <c r="B259" s="10">
        <v>2022</v>
      </c>
      <c r="C259" s="10">
        <v>5015</v>
      </c>
      <c r="D259" s="10">
        <v>52909</v>
      </c>
      <c r="E259" s="10">
        <v>2716</v>
      </c>
      <c r="F259" s="10">
        <v>13706</v>
      </c>
      <c r="G259" s="10">
        <v>15747</v>
      </c>
      <c r="H259" s="10">
        <v>7002</v>
      </c>
      <c r="I259" s="10">
        <v>12015</v>
      </c>
      <c r="J259" s="10">
        <v>0</v>
      </c>
      <c r="K259" s="10">
        <v>0</v>
      </c>
      <c r="L259" s="10">
        <v>2757</v>
      </c>
      <c r="M259" s="10">
        <v>5604</v>
      </c>
      <c r="N259" s="10">
        <v>5360</v>
      </c>
      <c r="O259" s="10">
        <v>14146</v>
      </c>
      <c r="P259" s="10">
        <v>10253</v>
      </c>
      <c r="Q259" s="10">
        <v>1677</v>
      </c>
      <c r="R259" s="10">
        <v>18837</v>
      </c>
      <c r="S259" s="10">
        <v>114427</v>
      </c>
      <c r="T259" s="10">
        <v>53317</v>
      </c>
      <c r="U259" s="10">
        <v>19.243070787637091</v>
      </c>
      <c r="V259" s="10">
        <v>19.640212440227561</v>
      </c>
      <c r="W259" s="10">
        <v>33.635416666666664</v>
      </c>
      <c r="X259" s="10">
        <v>4.8166421207658319</v>
      </c>
      <c r="Y259" s="10">
        <v>32.104698672114402</v>
      </c>
      <c r="Z259" s="10">
        <v>16.986537118181243</v>
      </c>
      <c r="AA259" s="10">
        <v>19.903313339045987</v>
      </c>
      <c r="AB259" s="10">
        <v>33.952725759467334</v>
      </c>
      <c r="AC259" s="10">
        <v>0</v>
      </c>
      <c r="AD259" s="10">
        <v>0</v>
      </c>
      <c r="AE259" s="10">
        <v>30.189336235038084</v>
      </c>
      <c r="AF259" s="10">
        <v>46.277301927194863</v>
      </c>
      <c r="AG259" s="10">
        <v>0</v>
      </c>
      <c r="AH259" s="10">
        <v>7.8694330552806449</v>
      </c>
      <c r="AI259" s="10">
        <v>40.092753340485707</v>
      </c>
      <c r="AJ259" s="10">
        <v>0</v>
      </c>
      <c r="AK259" s="10">
        <v>31.657125819916519</v>
      </c>
      <c r="AL259" s="10">
        <v>23.707225142007747</v>
      </c>
      <c r="AM259" s="10">
        <v>0</v>
      </c>
      <c r="AN259" s="10">
        <v>2</v>
      </c>
      <c r="AO259" s="10">
        <v>6</v>
      </c>
      <c r="AP259" s="10">
        <v>17</v>
      </c>
      <c r="AQ259" s="10">
        <v>1</v>
      </c>
      <c r="AR259" s="10">
        <v>8</v>
      </c>
      <c r="AS259" s="10">
        <v>3</v>
      </c>
      <c r="AT259" s="10">
        <v>2</v>
      </c>
      <c r="AU259" s="10">
        <v>3</v>
      </c>
      <c r="AV259" s="10">
        <v>0</v>
      </c>
      <c r="AW259" s="10">
        <v>1</v>
      </c>
      <c r="AX259" s="10">
        <v>2</v>
      </c>
      <c r="AY259" s="10">
        <v>1</v>
      </c>
      <c r="AZ259" s="10">
        <v>2</v>
      </c>
      <c r="BA259" s="10">
        <v>0</v>
      </c>
      <c r="BB259" s="10">
        <v>8</v>
      </c>
      <c r="BC259" s="10">
        <v>56</v>
      </c>
      <c r="BD259" s="10">
        <v>0</v>
      </c>
      <c r="BE259" s="10">
        <v>7</v>
      </c>
      <c r="BF259" s="10">
        <v>11</v>
      </c>
      <c r="BG259" s="10">
        <v>0</v>
      </c>
      <c r="BH259" s="10">
        <v>0</v>
      </c>
      <c r="BI259" s="10">
        <v>1</v>
      </c>
      <c r="BJ259" s="10">
        <v>5</v>
      </c>
      <c r="BK259" s="10">
        <v>0</v>
      </c>
      <c r="BL259" s="10">
        <v>0</v>
      </c>
      <c r="BM259" s="10">
        <v>0</v>
      </c>
      <c r="BN259" s="10">
        <v>0</v>
      </c>
      <c r="BO259" s="10">
        <v>4</v>
      </c>
      <c r="BP259" s="10">
        <v>5</v>
      </c>
      <c r="BQ259" s="10">
        <v>0</v>
      </c>
      <c r="BR259" s="10">
        <v>3</v>
      </c>
      <c r="BS259" s="10">
        <v>36</v>
      </c>
    </row>
    <row r="260" spans="1:71" x14ac:dyDescent="0.55000000000000004">
      <c r="A260" s="10">
        <v>690</v>
      </c>
      <c r="B260" s="10">
        <v>2022</v>
      </c>
      <c r="C260" s="10">
        <v>639</v>
      </c>
      <c r="D260" s="10">
        <v>53432</v>
      </c>
      <c r="E260" s="10">
        <v>14443</v>
      </c>
      <c r="F260" s="10">
        <v>5085</v>
      </c>
      <c r="G260" s="10">
        <v>0</v>
      </c>
      <c r="H260" s="10">
        <v>0</v>
      </c>
      <c r="I260" s="10">
        <v>1609</v>
      </c>
      <c r="J260" s="10">
        <v>0</v>
      </c>
      <c r="K260" s="10">
        <v>0</v>
      </c>
      <c r="L260" s="10">
        <v>7547</v>
      </c>
      <c r="M260" s="10">
        <v>4157</v>
      </c>
      <c r="N260" s="10">
        <v>0</v>
      </c>
      <c r="O260" s="10">
        <v>1167</v>
      </c>
      <c r="P260" s="10">
        <v>41558</v>
      </c>
      <c r="Q260" s="10">
        <v>4422</v>
      </c>
      <c r="R260" s="10">
        <v>0</v>
      </c>
      <c r="S260" s="10">
        <v>113364</v>
      </c>
      <c r="T260" s="10">
        <v>20695</v>
      </c>
      <c r="U260" s="10">
        <v>41.928012519561811</v>
      </c>
      <c r="V260" s="10">
        <v>23.698701152867194</v>
      </c>
      <c r="W260" s="10">
        <v>34.142376304274656</v>
      </c>
      <c r="X260" s="10">
        <v>21.264280274181264</v>
      </c>
      <c r="Y260" s="10">
        <v>48.836774827925268</v>
      </c>
      <c r="Z260" s="10">
        <v>0</v>
      </c>
      <c r="AA260" s="10">
        <v>0</v>
      </c>
      <c r="AB260" s="10">
        <v>31.40894965817278</v>
      </c>
      <c r="AC260" s="10">
        <v>0</v>
      </c>
      <c r="AD260" s="10">
        <v>0</v>
      </c>
      <c r="AE260" s="10">
        <v>25.609248708095929</v>
      </c>
      <c r="AF260" s="10">
        <v>61.474140004811161</v>
      </c>
      <c r="AG260" s="10">
        <v>0</v>
      </c>
      <c r="AH260" s="10">
        <v>33.583547557840618</v>
      </c>
      <c r="AI260" s="10">
        <v>47.75934838057654</v>
      </c>
      <c r="AJ260" s="10">
        <v>62.043965110796798</v>
      </c>
      <c r="AK260" s="10">
        <v>37.864314789687924</v>
      </c>
      <c r="AL260" s="10">
        <v>0</v>
      </c>
      <c r="AM260" s="10">
        <v>0</v>
      </c>
      <c r="AN260" s="10">
        <v>3</v>
      </c>
      <c r="AO260" s="10">
        <v>1</v>
      </c>
      <c r="AP260" s="10">
        <v>16</v>
      </c>
      <c r="AQ260" s="10">
        <v>6</v>
      </c>
      <c r="AR260" s="10">
        <v>0</v>
      </c>
      <c r="AS260" s="10">
        <v>0</v>
      </c>
      <c r="AT260" s="10">
        <v>2</v>
      </c>
      <c r="AU260" s="10">
        <v>4</v>
      </c>
      <c r="AV260" s="10">
        <v>0</v>
      </c>
      <c r="AW260" s="10">
        <v>2</v>
      </c>
      <c r="AX260" s="10">
        <v>2</v>
      </c>
      <c r="AY260" s="10">
        <v>0</v>
      </c>
      <c r="AZ260" s="10">
        <v>22</v>
      </c>
      <c r="BA260" s="10">
        <v>2</v>
      </c>
      <c r="BB260" s="10">
        <v>0</v>
      </c>
      <c r="BC260" s="10">
        <v>60</v>
      </c>
      <c r="BD260" s="10">
        <v>1</v>
      </c>
      <c r="BE260" s="10">
        <v>0</v>
      </c>
      <c r="BF260" s="10">
        <v>12</v>
      </c>
      <c r="BG260" s="10">
        <v>4</v>
      </c>
      <c r="BH260" s="10">
        <v>0</v>
      </c>
      <c r="BI260" s="10">
        <v>0</v>
      </c>
      <c r="BJ260" s="10">
        <v>0</v>
      </c>
      <c r="BK260" s="10">
        <v>0</v>
      </c>
      <c r="BL260" s="10">
        <v>0</v>
      </c>
      <c r="BM260" s="10">
        <v>0</v>
      </c>
      <c r="BN260" s="10">
        <v>0</v>
      </c>
      <c r="BO260" s="10">
        <v>0</v>
      </c>
      <c r="BP260" s="10">
        <v>4</v>
      </c>
      <c r="BQ260" s="10">
        <v>0</v>
      </c>
      <c r="BR260" s="10">
        <v>0</v>
      </c>
      <c r="BS260" s="10">
        <v>21</v>
      </c>
    </row>
    <row r="261" spans="1:71" x14ac:dyDescent="0.55000000000000004">
      <c r="A261" s="10">
        <v>702</v>
      </c>
      <c r="B261" s="10">
        <v>2022</v>
      </c>
      <c r="C261" s="10">
        <v>14956</v>
      </c>
      <c r="D261" s="10">
        <v>53616</v>
      </c>
      <c r="E261" s="10">
        <v>27595</v>
      </c>
      <c r="F261" s="10">
        <v>11963</v>
      </c>
      <c r="G261" s="10">
        <v>6368</v>
      </c>
      <c r="H261" s="10">
        <v>4328</v>
      </c>
      <c r="I261" s="10">
        <v>17073</v>
      </c>
      <c r="J261" s="10">
        <v>0</v>
      </c>
      <c r="K261" s="10">
        <v>0</v>
      </c>
      <c r="L261" s="10">
        <v>3040</v>
      </c>
      <c r="M261" s="10">
        <v>11704</v>
      </c>
      <c r="N261" s="10">
        <v>0</v>
      </c>
      <c r="O261" s="10">
        <v>4403</v>
      </c>
      <c r="P261" s="10">
        <v>12959</v>
      </c>
      <c r="Q261" s="10">
        <v>2961</v>
      </c>
      <c r="R261" s="10">
        <v>5087</v>
      </c>
      <c r="S261" s="10">
        <v>121396</v>
      </c>
      <c r="T261" s="10">
        <v>54657</v>
      </c>
      <c r="U261" s="10">
        <v>11.221516448248193</v>
      </c>
      <c r="V261" s="10">
        <v>20.579360638615338</v>
      </c>
      <c r="W261" s="10">
        <v>0</v>
      </c>
      <c r="X261" s="10">
        <v>12.932234100380505</v>
      </c>
      <c r="Y261" s="10">
        <v>29.122042965811254</v>
      </c>
      <c r="Z261" s="10">
        <v>17.614164572864322</v>
      </c>
      <c r="AA261" s="10">
        <v>15.868068391866913</v>
      </c>
      <c r="AB261" s="10">
        <v>28.306507350787793</v>
      </c>
      <c r="AC261" s="10">
        <v>0</v>
      </c>
      <c r="AD261" s="10">
        <v>0</v>
      </c>
      <c r="AE261" s="10">
        <v>20.015789473684208</v>
      </c>
      <c r="AF261" s="10">
        <v>33.085868079289135</v>
      </c>
      <c r="AG261" s="10">
        <v>0</v>
      </c>
      <c r="AH261" s="10">
        <v>22.70292982057688</v>
      </c>
      <c r="AI261" s="10">
        <v>37.842426113126017</v>
      </c>
      <c r="AJ261" s="10">
        <v>0</v>
      </c>
      <c r="AK261" s="10">
        <v>44.385680513340084</v>
      </c>
      <c r="AL261" s="10">
        <v>22.476705327304895</v>
      </c>
      <c r="AM261" s="10">
        <v>0</v>
      </c>
      <c r="AN261" s="10">
        <v>3</v>
      </c>
      <c r="AO261" s="10">
        <v>5</v>
      </c>
      <c r="AP261" s="10">
        <v>14</v>
      </c>
      <c r="AQ261" s="10">
        <v>10</v>
      </c>
      <c r="AR261" s="10">
        <v>0</v>
      </c>
      <c r="AS261" s="10">
        <v>0</v>
      </c>
      <c r="AT261" s="10">
        <v>8</v>
      </c>
      <c r="AU261" s="10">
        <v>2</v>
      </c>
      <c r="AV261" s="10">
        <v>0</v>
      </c>
      <c r="AW261" s="10">
        <v>2</v>
      </c>
      <c r="AX261" s="10">
        <v>7</v>
      </c>
      <c r="AY261" s="10">
        <v>10</v>
      </c>
      <c r="AZ261" s="10">
        <v>4</v>
      </c>
      <c r="BA261" s="10">
        <v>2</v>
      </c>
      <c r="BB261" s="10">
        <v>2</v>
      </c>
      <c r="BC261" s="10">
        <v>69</v>
      </c>
      <c r="BD261" s="10">
        <v>2</v>
      </c>
      <c r="BE261" s="10">
        <v>0</v>
      </c>
      <c r="BF261" s="10">
        <v>9</v>
      </c>
      <c r="BG261" s="10">
        <v>17</v>
      </c>
      <c r="BH261" s="10">
        <v>0</v>
      </c>
      <c r="BI261" s="10">
        <v>0</v>
      </c>
      <c r="BJ261" s="10">
        <v>1</v>
      </c>
      <c r="BK261" s="10">
        <v>0</v>
      </c>
      <c r="BL261" s="10">
        <v>0</v>
      </c>
      <c r="BM261" s="10">
        <v>0</v>
      </c>
      <c r="BN261" s="10">
        <v>0</v>
      </c>
      <c r="BO261" s="10">
        <v>6</v>
      </c>
      <c r="BP261" s="10">
        <v>2</v>
      </c>
      <c r="BQ261" s="10">
        <v>0</v>
      </c>
      <c r="BR261" s="10">
        <v>0</v>
      </c>
      <c r="BS261" s="10">
        <v>37</v>
      </c>
    </row>
    <row r="262" spans="1:71" x14ac:dyDescent="0.55000000000000004">
      <c r="A262" s="10">
        <v>984</v>
      </c>
      <c r="B262" s="10">
        <v>2022</v>
      </c>
      <c r="C262" s="10">
        <v>13210</v>
      </c>
      <c r="D262" s="10">
        <v>53807</v>
      </c>
      <c r="E262" s="10">
        <v>34433</v>
      </c>
      <c r="F262" s="10">
        <v>17929</v>
      </c>
      <c r="G262" s="10">
        <v>8934</v>
      </c>
      <c r="H262" s="10">
        <v>7293</v>
      </c>
      <c r="I262" s="10">
        <v>20029</v>
      </c>
      <c r="J262" s="10">
        <v>0</v>
      </c>
      <c r="K262" s="10">
        <v>0</v>
      </c>
      <c r="L262" s="10">
        <v>0</v>
      </c>
      <c r="M262" s="10">
        <v>22195</v>
      </c>
      <c r="N262" s="10">
        <v>4217</v>
      </c>
      <c r="O262" s="10">
        <v>0</v>
      </c>
      <c r="P262" s="10">
        <v>21888</v>
      </c>
      <c r="Q262" s="10">
        <v>2723</v>
      </c>
      <c r="R262" s="10">
        <v>23097</v>
      </c>
      <c r="S262" s="10">
        <v>161166</v>
      </c>
      <c r="T262" s="10">
        <v>68589</v>
      </c>
      <c r="U262" s="10">
        <v>23.502725208175622</v>
      </c>
      <c r="V262" s="10">
        <v>21.180050922742396</v>
      </c>
      <c r="W262" s="10">
        <v>34.226324391885392</v>
      </c>
      <c r="X262" s="10">
        <v>0</v>
      </c>
      <c r="Y262" s="10">
        <v>0</v>
      </c>
      <c r="Z262" s="10">
        <v>0</v>
      </c>
      <c r="AA262" s="10">
        <v>0</v>
      </c>
      <c r="AB262" s="10">
        <v>29.741125368216085</v>
      </c>
      <c r="AC262" s="10">
        <v>49.511421752471875</v>
      </c>
      <c r="AD262" s="10">
        <v>0</v>
      </c>
      <c r="AE262" s="10">
        <v>0</v>
      </c>
      <c r="AF262" s="10">
        <v>43.611489074115795</v>
      </c>
      <c r="AG262" s="10">
        <v>17.914868389850604</v>
      </c>
      <c r="AH262" s="10">
        <v>0</v>
      </c>
      <c r="AI262" s="10">
        <v>37.847085160818715</v>
      </c>
      <c r="AJ262" s="10">
        <v>61.418867924528307</v>
      </c>
      <c r="AK262" s="10">
        <v>24.816011751744401</v>
      </c>
      <c r="AL262" s="10">
        <v>23.606832056111184</v>
      </c>
      <c r="AM262" s="10">
        <v>0</v>
      </c>
      <c r="AN262" s="10">
        <v>1</v>
      </c>
      <c r="AO262" s="10">
        <v>4</v>
      </c>
      <c r="AP262" s="10">
        <v>14</v>
      </c>
      <c r="AQ262" s="10">
        <v>14</v>
      </c>
      <c r="AR262" s="10">
        <v>5</v>
      </c>
      <c r="AS262" s="10">
        <v>4</v>
      </c>
      <c r="AT262" s="10">
        <v>7</v>
      </c>
      <c r="AU262" s="10">
        <v>9</v>
      </c>
      <c r="AV262" s="10">
        <v>0</v>
      </c>
      <c r="AW262" s="10">
        <v>0</v>
      </c>
      <c r="AX262" s="10">
        <v>9</v>
      </c>
      <c r="AY262" s="10">
        <v>4</v>
      </c>
      <c r="AZ262" s="10">
        <v>9</v>
      </c>
      <c r="BA262" s="10">
        <v>1</v>
      </c>
      <c r="BB262" s="10">
        <v>8</v>
      </c>
      <c r="BC262" s="10">
        <v>89</v>
      </c>
      <c r="BD262" s="10">
        <v>2</v>
      </c>
      <c r="BE262" s="10">
        <v>0</v>
      </c>
      <c r="BF262" s="10">
        <v>4</v>
      </c>
      <c r="BG262" s="10">
        <v>14</v>
      </c>
      <c r="BH262" s="10">
        <v>1</v>
      </c>
      <c r="BI262" s="10">
        <v>0</v>
      </c>
      <c r="BJ262" s="10">
        <v>3</v>
      </c>
      <c r="BK262" s="10">
        <v>2</v>
      </c>
      <c r="BL262" s="10">
        <v>0</v>
      </c>
      <c r="BM262" s="10">
        <v>0</v>
      </c>
      <c r="BN262" s="10">
        <v>0</v>
      </c>
      <c r="BO262" s="10">
        <v>0</v>
      </c>
      <c r="BP262" s="10">
        <v>3</v>
      </c>
      <c r="BQ262" s="10">
        <v>0</v>
      </c>
      <c r="BR262" s="10">
        <v>3</v>
      </c>
      <c r="BS262" s="10">
        <v>32</v>
      </c>
    </row>
    <row r="263" spans="1:71" x14ac:dyDescent="0.55000000000000004">
      <c r="A263" s="10">
        <v>500</v>
      </c>
      <c r="B263" s="10">
        <v>2022</v>
      </c>
      <c r="C263" s="10">
        <v>14109</v>
      </c>
      <c r="D263" s="10">
        <v>53838</v>
      </c>
      <c r="E263" s="10">
        <v>21624</v>
      </c>
      <c r="F263" s="10">
        <v>7472</v>
      </c>
      <c r="G263" s="10">
        <v>12175</v>
      </c>
      <c r="H263" s="10">
        <v>2775</v>
      </c>
      <c r="I263" s="10">
        <v>21172</v>
      </c>
      <c r="J263" s="10">
        <v>0</v>
      </c>
      <c r="K263" s="10">
        <v>0</v>
      </c>
      <c r="L263" s="10">
        <v>5191</v>
      </c>
      <c r="M263" s="10">
        <v>13274</v>
      </c>
      <c r="N263" s="10">
        <v>0</v>
      </c>
      <c r="O263" s="10">
        <v>3413</v>
      </c>
      <c r="P263" s="10">
        <v>6856</v>
      </c>
      <c r="Q263" s="10">
        <v>3273</v>
      </c>
      <c r="R263" s="10">
        <v>7167</v>
      </c>
      <c r="S263" s="10">
        <v>124880</v>
      </c>
      <c r="T263" s="10">
        <v>47459</v>
      </c>
      <c r="U263" s="10">
        <v>15.759798710043233</v>
      </c>
      <c r="V263" s="10">
        <v>20.874048070136336</v>
      </c>
      <c r="W263" s="10">
        <v>54.133643855249012</v>
      </c>
      <c r="X263" s="10">
        <v>17.719385867554568</v>
      </c>
      <c r="Y263" s="10">
        <v>27.60264989293362</v>
      </c>
      <c r="Z263" s="10">
        <v>16.04041067761807</v>
      </c>
      <c r="AA263" s="10">
        <v>16.163963963963962</v>
      </c>
      <c r="AB263" s="10">
        <v>28.150151143019084</v>
      </c>
      <c r="AC263" s="10">
        <v>60.713735558408217</v>
      </c>
      <c r="AD263" s="10">
        <v>0</v>
      </c>
      <c r="AE263" s="10">
        <v>0</v>
      </c>
      <c r="AF263" s="10">
        <v>38.405378936266388</v>
      </c>
      <c r="AG263" s="10">
        <v>0</v>
      </c>
      <c r="AH263" s="10">
        <v>22.442133020802814</v>
      </c>
      <c r="AI263" s="10">
        <v>207.0029171528588</v>
      </c>
      <c r="AJ263" s="10">
        <v>105.40625</v>
      </c>
      <c r="AK263" s="10">
        <v>24.246257256339749</v>
      </c>
      <c r="AL263" s="10">
        <v>21.728756802009208</v>
      </c>
      <c r="AM263" s="10">
        <v>0</v>
      </c>
      <c r="AN263" s="10">
        <v>4</v>
      </c>
      <c r="AO263" s="10">
        <v>5</v>
      </c>
      <c r="AP263" s="10">
        <v>18</v>
      </c>
      <c r="AQ263" s="10">
        <v>6</v>
      </c>
      <c r="AR263" s="10">
        <v>6</v>
      </c>
      <c r="AS263" s="10">
        <v>1</v>
      </c>
      <c r="AT263" s="10">
        <v>7</v>
      </c>
      <c r="AU263" s="10">
        <v>3</v>
      </c>
      <c r="AV263" s="10">
        <v>0</v>
      </c>
      <c r="AW263" s="10">
        <v>2</v>
      </c>
      <c r="AX263" s="10">
        <v>7</v>
      </c>
      <c r="AY263" s="10">
        <v>0</v>
      </c>
      <c r="AZ263" s="10">
        <v>4</v>
      </c>
      <c r="BA263" s="10">
        <v>1</v>
      </c>
      <c r="BB263" s="10">
        <v>3</v>
      </c>
      <c r="BC263" s="10">
        <v>67</v>
      </c>
      <c r="BD263" s="10">
        <v>4</v>
      </c>
      <c r="BE263" s="10">
        <v>0</v>
      </c>
      <c r="BF263" s="10">
        <v>8</v>
      </c>
      <c r="BG263" s="10">
        <v>13</v>
      </c>
      <c r="BH263" s="10">
        <v>1</v>
      </c>
      <c r="BI263" s="10">
        <v>0</v>
      </c>
      <c r="BJ263" s="10">
        <v>2</v>
      </c>
      <c r="BK263" s="10">
        <v>0</v>
      </c>
      <c r="BL263" s="10">
        <v>0</v>
      </c>
      <c r="BM263" s="10">
        <v>1</v>
      </c>
      <c r="BN263" s="10">
        <v>0</v>
      </c>
      <c r="BO263" s="10">
        <v>0</v>
      </c>
      <c r="BP263" s="10">
        <v>0</v>
      </c>
      <c r="BQ263" s="10">
        <v>0</v>
      </c>
      <c r="BR263" s="10">
        <v>0</v>
      </c>
      <c r="BS263" s="10">
        <v>29</v>
      </c>
    </row>
    <row r="264" spans="1:71" x14ac:dyDescent="0.55000000000000004">
      <c r="A264" s="10">
        <v>440</v>
      </c>
      <c r="B264" s="10">
        <v>2022</v>
      </c>
      <c r="C264" s="10">
        <v>3435</v>
      </c>
      <c r="D264" s="10">
        <v>53863</v>
      </c>
      <c r="E264" s="10">
        <v>20149</v>
      </c>
      <c r="F264" s="10">
        <v>6600</v>
      </c>
      <c r="G264" s="10">
        <v>3750</v>
      </c>
      <c r="H264" s="10">
        <v>4500</v>
      </c>
      <c r="I264" s="10">
        <v>5048</v>
      </c>
      <c r="J264" s="10">
        <v>147</v>
      </c>
      <c r="K264" s="10">
        <v>0</v>
      </c>
      <c r="L264" s="10">
        <v>6102</v>
      </c>
      <c r="M264" s="10">
        <v>7595</v>
      </c>
      <c r="N264" s="10">
        <v>1267</v>
      </c>
      <c r="O264" s="10">
        <v>930</v>
      </c>
      <c r="P264" s="10">
        <v>18820</v>
      </c>
      <c r="Q264" s="10">
        <v>5265</v>
      </c>
      <c r="R264" s="10">
        <v>9077</v>
      </c>
      <c r="S264" s="10">
        <v>110619</v>
      </c>
      <c r="T264" s="10">
        <v>35929</v>
      </c>
      <c r="U264" s="10">
        <v>22.153420669577873</v>
      </c>
      <c r="V264" s="10">
        <v>20.248296604348067</v>
      </c>
      <c r="W264" s="10">
        <v>34.025806451612901</v>
      </c>
      <c r="X264" s="10">
        <v>22.701474018561711</v>
      </c>
      <c r="Y264" s="10">
        <v>32.451212121212123</v>
      </c>
      <c r="Z264" s="10">
        <v>18.000533333333333</v>
      </c>
      <c r="AA264" s="10">
        <v>18.032666666666668</v>
      </c>
      <c r="AB264" s="10">
        <v>37.015253565768624</v>
      </c>
      <c r="AC264" s="10">
        <v>50.25396825396826</v>
      </c>
      <c r="AD264" s="10">
        <v>0</v>
      </c>
      <c r="AE264" s="10">
        <v>26.273352999016712</v>
      </c>
      <c r="AF264" s="10">
        <v>38.485450954575377</v>
      </c>
      <c r="AG264" s="10">
        <v>27.973164956590367</v>
      </c>
      <c r="AH264" s="10">
        <v>24.035483870967742</v>
      </c>
      <c r="AI264" s="10">
        <v>39.488469713071197</v>
      </c>
      <c r="AJ264" s="10">
        <v>58.285294117647062</v>
      </c>
      <c r="AK264" s="10">
        <v>30.803418803418804</v>
      </c>
      <c r="AL264" s="10">
        <v>26.230913297344937</v>
      </c>
      <c r="AM264" s="10">
        <v>0</v>
      </c>
      <c r="AN264" s="10">
        <v>4</v>
      </c>
      <c r="AO264" s="10">
        <v>4</v>
      </c>
      <c r="AP264" s="10">
        <v>20</v>
      </c>
      <c r="AQ264" s="10">
        <v>19</v>
      </c>
      <c r="AR264" s="10">
        <v>11</v>
      </c>
      <c r="AS264" s="10">
        <v>0</v>
      </c>
      <c r="AT264" s="10">
        <v>2</v>
      </c>
      <c r="AU264" s="10">
        <v>5</v>
      </c>
      <c r="AV264" s="10">
        <v>0</v>
      </c>
      <c r="AW264" s="10">
        <v>3</v>
      </c>
      <c r="AX264" s="10">
        <v>3</v>
      </c>
      <c r="AY264" s="10">
        <v>1</v>
      </c>
      <c r="AZ264" s="10">
        <v>7</v>
      </c>
      <c r="BA264" s="10">
        <v>2</v>
      </c>
      <c r="BB264" s="10">
        <v>3</v>
      </c>
      <c r="BC264" s="10">
        <v>84</v>
      </c>
      <c r="BD264" s="10">
        <v>1</v>
      </c>
      <c r="BE264" s="10">
        <v>6</v>
      </c>
      <c r="BF264" s="10">
        <v>13</v>
      </c>
      <c r="BG264" s="10">
        <v>36</v>
      </c>
      <c r="BH264" s="10">
        <v>0</v>
      </c>
      <c r="BI264" s="10">
        <v>0</v>
      </c>
      <c r="BJ264" s="10">
        <v>2</v>
      </c>
      <c r="BK264" s="10">
        <v>1</v>
      </c>
      <c r="BL264" s="10">
        <v>0</v>
      </c>
      <c r="BM264" s="10">
        <v>0</v>
      </c>
      <c r="BN264" s="10">
        <v>0</v>
      </c>
      <c r="BO264" s="10">
        <v>1</v>
      </c>
      <c r="BP264" s="10">
        <v>3</v>
      </c>
      <c r="BQ264" s="10">
        <v>0</v>
      </c>
      <c r="BR264" s="10">
        <v>1</v>
      </c>
      <c r="BS264" s="10">
        <v>64</v>
      </c>
    </row>
    <row r="265" spans="1:71" x14ac:dyDescent="0.55000000000000004">
      <c r="A265" s="10">
        <v>326</v>
      </c>
      <c r="B265" s="10">
        <v>2022</v>
      </c>
      <c r="C265" s="10">
        <v>6166</v>
      </c>
      <c r="D265" s="10">
        <v>55051</v>
      </c>
      <c r="E265" s="10">
        <v>18097</v>
      </c>
      <c r="F265" s="10">
        <v>7899</v>
      </c>
      <c r="G265" s="10">
        <v>8517</v>
      </c>
      <c r="H265" s="10">
        <v>5928</v>
      </c>
      <c r="I265" s="10">
        <v>19670</v>
      </c>
      <c r="J265" s="10">
        <v>0</v>
      </c>
      <c r="K265" s="10">
        <v>0</v>
      </c>
      <c r="L265" s="10">
        <v>2099</v>
      </c>
      <c r="M265" s="10">
        <v>2968</v>
      </c>
      <c r="N265" s="10">
        <v>1694</v>
      </c>
      <c r="O265" s="10">
        <v>5983</v>
      </c>
      <c r="P265" s="10">
        <v>19815</v>
      </c>
      <c r="Q265" s="10">
        <v>2758</v>
      </c>
      <c r="R265" s="10">
        <v>376</v>
      </c>
      <c r="S265" s="10">
        <v>110597</v>
      </c>
      <c r="T265" s="10">
        <v>46424</v>
      </c>
      <c r="U265" s="10">
        <v>21.68131689912423</v>
      </c>
      <c r="V265" s="10">
        <v>27.889593286225502</v>
      </c>
      <c r="W265" s="10">
        <v>34.158490566037734</v>
      </c>
      <c r="X265" s="10">
        <v>17.132066088301929</v>
      </c>
      <c r="Y265" s="10">
        <v>28.840359539182177</v>
      </c>
      <c r="Z265" s="10">
        <v>19.455676881531055</v>
      </c>
      <c r="AA265" s="10">
        <v>18.96035762483131</v>
      </c>
      <c r="AB265" s="10">
        <v>23.776919166243008</v>
      </c>
      <c r="AC265" s="10">
        <v>0</v>
      </c>
      <c r="AD265" s="10">
        <v>0</v>
      </c>
      <c r="AE265" s="10">
        <v>23.897093854216294</v>
      </c>
      <c r="AF265" s="10">
        <v>47.95451482479784</v>
      </c>
      <c r="AG265" s="10">
        <v>32.972845336481697</v>
      </c>
      <c r="AH265" s="10">
        <v>32.049974928965405</v>
      </c>
      <c r="AI265" s="10">
        <v>38.214383043149127</v>
      </c>
      <c r="AJ265" s="10">
        <v>62.878201479795102</v>
      </c>
      <c r="AK265" s="10">
        <v>26.350253807106601</v>
      </c>
      <c r="AL265" s="10">
        <v>26.281914893617017</v>
      </c>
      <c r="AM265" s="10">
        <v>0</v>
      </c>
      <c r="AN265" s="10">
        <v>2</v>
      </c>
      <c r="AO265" s="10">
        <v>5</v>
      </c>
      <c r="AP265" s="10">
        <v>19</v>
      </c>
      <c r="AQ265" s="10">
        <v>7</v>
      </c>
      <c r="AR265" s="10">
        <v>5</v>
      </c>
      <c r="AS265" s="10">
        <v>0</v>
      </c>
      <c r="AT265" s="10">
        <v>5</v>
      </c>
      <c r="AU265" s="10">
        <v>2</v>
      </c>
      <c r="AV265" s="10">
        <v>0</v>
      </c>
      <c r="AW265" s="10">
        <v>1</v>
      </c>
      <c r="AX265" s="10">
        <v>1</v>
      </c>
      <c r="AY265" s="10">
        <v>1</v>
      </c>
      <c r="AZ265" s="10">
        <v>9</v>
      </c>
      <c r="BA265" s="10">
        <v>2</v>
      </c>
      <c r="BB265" s="10">
        <v>0</v>
      </c>
      <c r="BC265" s="10">
        <v>59</v>
      </c>
      <c r="BD265" s="10">
        <v>1</v>
      </c>
      <c r="BE265" s="10">
        <v>0</v>
      </c>
      <c r="BF265" s="10">
        <v>8</v>
      </c>
      <c r="BG265" s="10">
        <v>7</v>
      </c>
      <c r="BH265" s="10">
        <v>0</v>
      </c>
      <c r="BI265" s="10">
        <v>1</v>
      </c>
      <c r="BJ265" s="10">
        <v>3</v>
      </c>
      <c r="BK265" s="10">
        <v>0</v>
      </c>
      <c r="BL265" s="10">
        <v>0</v>
      </c>
      <c r="BM265" s="10">
        <v>0</v>
      </c>
      <c r="BN265" s="10">
        <v>0</v>
      </c>
      <c r="BO265" s="10">
        <v>0</v>
      </c>
      <c r="BP265" s="10">
        <v>4</v>
      </c>
      <c r="BQ265" s="10">
        <v>1</v>
      </c>
      <c r="BR265" s="10">
        <v>0</v>
      </c>
      <c r="BS265" s="10">
        <v>25</v>
      </c>
    </row>
    <row r="266" spans="1:71" x14ac:dyDescent="0.55000000000000004">
      <c r="A266" s="10">
        <v>164</v>
      </c>
      <c r="B266" s="10">
        <v>2022</v>
      </c>
      <c r="C266" s="10">
        <v>4653</v>
      </c>
      <c r="D266" s="10">
        <v>55083</v>
      </c>
      <c r="E266" s="10">
        <v>13981</v>
      </c>
      <c r="F266" s="10">
        <v>9235</v>
      </c>
      <c r="G266" s="10">
        <v>4029</v>
      </c>
      <c r="H266" s="10">
        <v>4624</v>
      </c>
      <c r="I266" s="10">
        <v>8739</v>
      </c>
      <c r="J266" s="10">
        <v>0</v>
      </c>
      <c r="K266" s="10">
        <v>0</v>
      </c>
      <c r="L266" s="10">
        <v>2385</v>
      </c>
      <c r="M266" s="10">
        <v>2130</v>
      </c>
      <c r="N266" s="10">
        <v>0</v>
      </c>
      <c r="O266" s="10">
        <v>1995</v>
      </c>
      <c r="P266" s="10">
        <v>13833</v>
      </c>
      <c r="Q266" s="10">
        <v>1459</v>
      </c>
      <c r="R266" s="10">
        <v>0</v>
      </c>
      <c r="S266" s="10">
        <v>88282</v>
      </c>
      <c r="T266" s="10">
        <v>33864</v>
      </c>
      <c r="U266" s="10">
        <v>24.660863958736297</v>
      </c>
      <c r="V266" s="10">
        <v>24.664960151044784</v>
      </c>
      <c r="W266" s="10">
        <v>34.470786327664591</v>
      </c>
      <c r="X266" s="10">
        <v>0</v>
      </c>
      <c r="Y266" s="10">
        <v>0</v>
      </c>
      <c r="Z266" s="10">
        <v>0</v>
      </c>
      <c r="AA266" s="10">
        <v>0</v>
      </c>
      <c r="AB266" s="10">
        <v>33.079070831902968</v>
      </c>
      <c r="AC266" s="10">
        <v>0</v>
      </c>
      <c r="AD266" s="10">
        <v>0</v>
      </c>
      <c r="AE266" s="10">
        <v>0</v>
      </c>
      <c r="AF266" s="10">
        <v>51.213615023474183</v>
      </c>
      <c r="AG266" s="10">
        <v>0</v>
      </c>
      <c r="AH266" s="10">
        <v>0</v>
      </c>
      <c r="AI266" s="10">
        <v>42.477264512397888</v>
      </c>
      <c r="AJ266" s="10">
        <v>62.778258184064235</v>
      </c>
      <c r="AK266" s="10">
        <v>30.711446196024674</v>
      </c>
      <c r="AL266" s="10">
        <v>0</v>
      </c>
      <c r="AM266" s="10">
        <v>0</v>
      </c>
      <c r="AN266" s="10">
        <v>1</v>
      </c>
      <c r="AO266" s="10">
        <v>3</v>
      </c>
      <c r="AP266" s="10">
        <v>15</v>
      </c>
      <c r="AQ266" s="10">
        <v>5</v>
      </c>
      <c r="AR266" s="10">
        <v>1</v>
      </c>
      <c r="AS266" s="10">
        <v>0</v>
      </c>
      <c r="AT266" s="10">
        <v>3</v>
      </c>
      <c r="AU266" s="10">
        <v>1</v>
      </c>
      <c r="AV266" s="10">
        <v>0</v>
      </c>
      <c r="AW266" s="10">
        <v>0</v>
      </c>
      <c r="AX266" s="10">
        <v>1</v>
      </c>
      <c r="AY266" s="10">
        <v>4</v>
      </c>
      <c r="AZ266" s="10">
        <v>7</v>
      </c>
      <c r="BA266" s="10">
        <v>0</v>
      </c>
      <c r="BB266" s="10">
        <v>0</v>
      </c>
      <c r="BC266" s="10">
        <v>41</v>
      </c>
      <c r="BD266" s="10">
        <v>3</v>
      </c>
      <c r="BE266" s="10">
        <v>1</v>
      </c>
      <c r="BF266" s="10">
        <v>24</v>
      </c>
      <c r="BG266" s="10">
        <v>11</v>
      </c>
      <c r="BH266" s="10">
        <v>2</v>
      </c>
      <c r="BI266" s="10">
        <v>5</v>
      </c>
      <c r="BJ266" s="10">
        <v>2</v>
      </c>
      <c r="BK266" s="10">
        <v>2</v>
      </c>
      <c r="BL266" s="10">
        <v>0</v>
      </c>
      <c r="BM266" s="10">
        <v>1</v>
      </c>
      <c r="BN266" s="10">
        <v>0</v>
      </c>
      <c r="BO266" s="10">
        <v>15</v>
      </c>
      <c r="BP266" s="10">
        <v>2</v>
      </c>
      <c r="BQ266" s="10">
        <v>0</v>
      </c>
      <c r="BR266" s="10">
        <v>0</v>
      </c>
      <c r="BS266" s="10">
        <v>68</v>
      </c>
    </row>
    <row r="267" spans="1:71" x14ac:dyDescent="0.55000000000000004">
      <c r="A267" s="10">
        <v>852</v>
      </c>
      <c r="B267" s="10">
        <v>2022</v>
      </c>
      <c r="C267" s="10">
        <v>12256</v>
      </c>
      <c r="D267" s="10">
        <v>55223</v>
      </c>
      <c r="E267" s="10">
        <v>25647</v>
      </c>
      <c r="F267" s="10">
        <v>9262</v>
      </c>
      <c r="G267" s="10">
        <v>8219</v>
      </c>
      <c r="H267" s="10">
        <v>5610</v>
      </c>
      <c r="I267" s="10">
        <v>13931</v>
      </c>
      <c r="J267" s="10">
        <v>0</v>
      </c>
      <c r="K267" s="10">
        <v>0</v>
      </c>
      <c r="L267" s="10">
        <v>4526</v>
      </c>
      <c r="M267" s="10">
        <v>4739</v>
      </c>
      <c r="N267" s="10">
        <v>456</v>
      </c>
      <c r="O267" s="10">
        <v>3657</v>
      </c>
      <c r="P267" s="10">
        <v>14180</v>
      </c>
      <c r="Q267" s="10">
        <v>2080</v>
      </c>
      <c r="R267" s="10">
        <v>4553</v>
      </c>
      <c r="S267" s="10">
        <v>111944</v>
      </c>
      <c r="T267" s="10">
        <v>52395</v>
      </c>
      <c r="U267" s="10">
        <v>21.039327676240205</v>
      </c>
      <c r="V267" s="10">
        <v>26.250819404958076</v>
      </c>
      <c r="W267" s="10">
        <v>34.269181856718951</v>
      </c>
      <c r="X267" s="10">
        <v>12.24381019222521</v>
      </c>
      <c r="Y267" s="10">
        <v>28.109803498164542</v>
      </c>
      <c r="Z267" s="10">
        <v>16.426085898527802</v>
      </c>
      <c r="AA267" s="10">
        <v>10.28698752228164</v>
      </c>
      <c r="AB267" s="10">
        <v>38.97810638145144</v>
      </c>
      <c r="AC267" s="10">
        <v>49.711743772241988</v>
      </c>
      <c r="AD267" s="10">
        <v>0</v>
      </c>
      <c r="AE267" s="10">
        <v>0</v>
      </c>
      <c r="AF267" s="10">
        <v>58.564254062038408</v>
      </c>
      <c r="AG267" s="10">
        <v>29.405701754385966</v>
      </c>
      <c r="AH267" s="10">
        <v>24.536778780421109</v>
      </c>
      <c r="AI267" s="10">
        <v>45.168970380818052</v>
      </c>
      <c r="AJ267" s="10">
        <v>62.103896103896098</v>
      </c>
      <c r="AK267" s="10">
        <v>29.772115384615383</v>
      </c>
      <c r="AL267" s="10">
        <v>25.189325719305948</v>
      </c>
      <c r="AM267" s="10">
        <v>0</v>
      </c>
      <c r="AN267" s="10">
        <v>5</v>
      </c>
      <c r="AO267" s="10">
        <v>4</v>
      </c>
      <c r="AP267" s="10">
        <v>17</v>
      </c>
      <c r="AQ267" s="10">
        <v>9</v>
      </c>
      <c r="AR267" s="10">
        <v>3</v>
      </c>
      <c r="AS267" s="10">
        <v>2</v>
      </c>
      <c r="AT267" s="10">
        <v>3</v>
      </c>
      <c r="AU267" s="10">
        <v>3</v>
      </c>
      <c r="AV267" s="10">
        <v>0</v>
      </c>
      <c r="AW267" s="10">
        <v>2</v>
      </c>
      <c r="AX267" s="10">
        <v>2</v>
      </c>
      <c r="AY267" s="10">
        <v>0</v>
      </c>
      <c r="AZ267" s="10">
        <v>8</v>
      </c>
      <c r="BA267" s="10">
        <v>1</v>
      </c>
      <c r="BB267" s="10">
        <v>0</v>
      </c>
      <c r="BC267" s="10">
        <v>59</v>
      </c>
      <c r="BD267" s="10">
        <v>3</v>
      </c>
      <c r="BE267" s="10">
        <v>1</v>
      </c>
      <c r="BF267" s="10">
        <v>25</v>
      </c>
      <c r="BG267" s="10">
        <v>17</v>
      </c>
      <c r="BH267" s="10">
        <v>4</v>
      </c>
      <c r="BI267" s="10">
        <v>1</v>
      </c>
      <c r="BJ267" s="10">
        <v>12</v>
      </c>
      <c r="BK267" s="10">
        <v>0</v>
      </c>
      <c r="BL267" s="10">
        <v>0</v>
      </c>
      <c r="BM267" s="10">
        <v>0</v>
      </c>
      <c r="BN267" s="10">
        <v>0</v>
      </c>
      <c r="BO267" s="10">
        <v>1</v>
      </c>
      <c r="BP267" s="10">
        <v>7</v>
      </c>
      <c r="BQ267" s="10">
        <v>0</v>
      </c>
      <c r="BR267" s="10">
        <v>0</v>
      </c>
      <c r="BS267" s="10">
        <v>71</v>
      </c>
    </row>
    <row r="268" spans="1:71" x14ac:dyDescent="0.55000000000000004">
      <c r="A268" s="10">
        <v>136</v>
      </c>
      <c r="B268" s="10">
        <v>2022</v>
      </c>
      <c r="C268" s="10">
        <v>6550</v>
      </c>
      <c r="D268" s="10">
        <v>55374</v>
      </c>
      <c r="E268" s="10">
        <v>14356</v>
      </c>
      <c r="F268" s="10">
        <v>16153</v>
      </c>
      <c r="G268" s="10">
        <v>14209</v>
      </c>
      <c r="H268" s="10">
        <v>7921</v>
      </c>
      <c r="I268" s="10">
        <v>29880</v>
      </c>
      <c r="J268" s="10">
        <v>0</v>
      </c>
      <c r="K268" s="10">
        <v>0</v>
      </c>
      <c r="L268" s="10">
        <v>5513</v>
      </c>
      <c r="M268" s="10">
        <v>9482</v>
      </c>
      <c r="N268" s="10">
        <v>2963</v>
      </c>
      <c r="O268" s="10">
        <v>8474</v>
      </c>
      <c r="P268" s="10">
        <v>17041</v>
      </c>
      <c r="Q268" s="10">
        <v>4170</v>
      </c>
      <c r="R268" s="10">
        <v>309</v>
      </c>
      <c r="S268" s="10">
        <v>131282</v>
      </c>
      <c r="T268" s="10">
        <v>61113</v>
      </c>
      <c r="U268" s="10">
        <v>19.16732824427481</v>
      </c>
      <c r="V268" s="10">
        <v>20.628255137790301</v>
      </c>
      <c r="W268" s="10">
        <v>0</v>
      </c>
      <c r="X268" s="10">
        <v>19.915505711897463</v>
      </c>
      <c r="Y268" s="10">
        <v>30.014919829133905</v>
      </c>
      <c r="Z268" s="10">
        <v>9.5507072981912877</v>
      </c>
      <c r="AA268" s="10">
        <v>13.343264739300594</v>
      </c>
      <c r="AB268" s="10">
        <v>30.488688085676038</v>
      </c>
      <c r="AC268" s="10">
        <v>0</v>
      </c>
      <c r="AD268" s="10">
        <v>0</v>
      </c>
      <c r="AE268" s="10">
        <v>20.487212044259024</v>
      </c>
      <c r="AF268" s="10">
        <v>42.056211769668842</v>
      </c>
      <c r="AG268" s="10">
        <v>24.134998312521095</v>
      </c>
      <c r="AH268" s="10">
        <v>14.831012508850602</v>
      </c>
      <c r="AI268" s="10">
        <v>37.099642039786396</v>
      </c>
      <c r="AJ268" s="10">
        <v>0</v>
      </c>
      <c r="AK268" s="10">
        <v>26.425419664268588</v>
      </c>
      <c r="AL268" s="10">
        <v>22.783171521035598</v>
      </c>
      <c r="AM268" s="10">
        <v>0</v>
      </c>
      <c r="AN268" s="10">
        <v>2</v>
      </c>
      <c r="AO268" s="10">
        <v>8</v>
      </c>
      <c r="AP268" s="10">
        <v>15</v>
      </c>
      <c r="AQ268" s="10">
        <v>10</v>
      </c>
      <c r="AR268" s="10">
        <v>7</v>
      </c>
      <c r="AS268" s="10">
        <v>5</v>
      </c>
      <c r="AT268" s="10">
        <v>11</v>
      </c>
      <c r="AU268" s="10">
        <v>5</v>
      </c>
      <c r="AV268" s="10">
        <v>0</v>
      </c>
      <c r="AW268" s="10">
        <v>3</v>
      </c>
      <c r="AX268" s="10">
        <v>4</v>
      </c>
      <c r="AY268" s="10">
        <v>1</v>
      </c>
      <c r="AZ268" s="10">
        <v>7</v>
      </c>
      <c r="BA268" s="10">
        <v>2</v>
      </c>
      <c r="BB268" s="10">
        <v>0</v>
      </c>
      <c r="BC268" s="10">
        <v>80</v>
      </c>
      <c r="BD268" s="10">
        <v>2</v>
      </c>
      <c r="BE268" s="10">
        <v>0</v>
      </c>
      <c r="BF268" s="10">
        <v>10</v>
      </c>
      <c r="BG268" s="10">
        <v>6</v>
      </c>
      <c r="BH268" s="10">
        <v>0</v>
      </c>
      <c r="BI268" s="10">
        <v>0</v>
      </c>
      <c r="BJ268" s="10">
        <v>2</v>
      </c>
      <c r="BK268" s="10">
        <v>0</v>
      </c>
      <c r="BL268" s="10">
        <v>0</v>
      </c>
      <c r="BM268" s="10">
        <v>0</v>
      </c>
      <c r="BN268" s="10">
        <v>0</v>
      </c>
      <c r="BO268" s="10">
        <v>3</v>
      </c>
      <c r="BP268" s="10">
        <v>1</v>
      </c>
      <c r="BQ268" s="10">
        <v>0</v>
      </c>
      <c r="BR268" s="10">
        <v>0</v>
      </c>
      <c r="BS268" s="10">
        <v>24</v>
      </c>
    </row>
    <row r="269" spans="1:71" x14ac:dyDescent="0.55000000000000004">
      <c r="A269" s="10">
        <v>601</v>
      </c>
      <c r="B269" s="10">
        <v>2022</v>
      </c>
      <c r="C269" s="10">
        <v>17632</v>
      </c>
      <c r="D269" s="10">
        <v>55554</v>
      </c>
      <c r="E269" s="10">
        <v>21956</v>
      </c>
      <c r="F269" s="10">
        <v>12783</v>
      </c>
      <c r="G269" s="10">
        <v>11006</v>
      </c>
      <c r="H269" s="10">
        <v>5658</v>
      </c>
      <c r="I269" s="10">
        <v>27586</v>
      </c>
      <c r="J269" s="10">
        <v>0</v>
      </c>
      <c r="K269" s="10">
        <v>0</v>
      </c>
      <c r="L269" s="10">
        <v>4052</v>
      </c>
      <c r="M269" s="10">
        <v>11566</v>
      </c>
      <c r="N269" s="10">
        <v>2378</v>
      </c>
      <c r="O269" s="10">
        <v>4214</v>
      </c>
      <c r="P269" s="10">
        <v>16854</v>
      </c>
      <c r="Q269" s="10">
        <v>5725</v>
      </c>
      <c r="R269" s="10">
        <v>12687</v>
      </c>
      <c r="S269" s="10">
        <v>154034</v>
      </c>
      <c r="T269" s="10">
        <v>55617</v>
      </c>
      <c r="U269" s="10">
        <v>21.275805353901998</v>
      </c>
      <c r="V269" s="10">
        <v>27.292670194765453</v>
      </c>
      <c r="W269" s="10">
        <v>35.757132406730065</v>
      </c>
      <c r="X269" s="10">
        <v>18.051193295682275</v>
      </c>
      <c r="Y269" s="10">
        <v>38.525776421810214</v>
      </c>
      <c r="Z269" s="10">
        <v>19.299745593312739</v>
      </c>
      <c r="AA269" s="10">
        <v>21.668964298338636</v>
      </c>
      <c r="AB269" s="10">
        <v>34.875951569636769</v>
      </c>
      <c r="AC269" s="10">
        <v>0</v>
      </c>
      <c r="AD269" s="10">
        <v>0</v>
      </c>
      <c r="AE269" s="10">
        <v>0</v>
      </c>
      <c r="AF269" s="10">
        <v>49.58360712432993</v>
      </c>
      <c r="AG269" s="10">
        <v>17.494112699747689</v>
      </c>
      <c r="AH269" s="10">
        <v>26.042714760322731</v>
      </c>
      <c r="AI269" s="10">
        <v>42.62323484039397</v>
      </c>
      <c r="AJ269" s="10">
        <v>0</v>
      </c>
      <c r="AK269" s="10">
        <v>27.587772925764192</v>
      </c>
      <c r="AL269" s="10">
        <v>27.756680066209505</v>
      </c>
      <c r="AM269" s="10">
        <v>0</v>
      </c>
      <c r="AN269" s="10">
        <v>8</v>
      </c>
      <c r="AO269" s="10">
        <v>3</v>
      </c>
      <c r="AP269" s="10">
        <v>15</v>
      </c>
      <c r="AQ269" s="10">
        <v>7</v>
      </c>
      <c r="AR269" s="10">
        <v>5</v>
      </c>
      <c r="AS269" s="10">
        <v>3</v>
      </c>
      <c r="AT269" s="10">
        <v>7</v>
      </c>
      <c r="AU269" s="10">
        <v>2</v>
      </c>
      <c r="AV269" s="10">
        <v>0</v>
      </c>
      <c r="AW269" s="10">
        <v>2</v>
      </c>
      <c r="AX269" s="10">
        <v>4</v>
      </c>
      <c r="AY269" s="10">
        <v>1</v>
      </c>
      <c r="AZ269" s="10">
        <v>3</v>
      </c>
      <c r="BA269" s="10">
        <v>2</v>
      </c>
      <c r="BB269" s="10">
        <v>3</v>
      </c>
      <c r="BC269" s="10">
        <v>65</v>
      </c>
      <c r="BD269" s="10">
        <v>5</v>
      </c>
      <c r="BE269" s="10">
        <v>2</v>
      </c>
      <c r="BF269" s="10">
        <v>19</v>
      </c>
      <c r="BG269" s="10">
        <v>9</v>
      </c>
      <c r="BH269" s="10">
        <v>2</v>
      </c>
      <c r="BI269" s="10">
        <v>0</v>
      </c>
      <c r="BJ269" s="10">
        <v>10</v>
      </c>
      <c r="BK269" s="10">
        <v>0</v>
      </c>
      <c r="BL269" s="10">
        <v>0</v>
      </c>
      <c r="BM269" s="10">
        <v>1</v>
      </c>
      <c r="BN269" s="10">
        <v>0</v>
      </c>
      <c r="BO269" s="10">
        <v>1</v>
      </c>
      <c r="BP269" s="10">
        <v>7</v>
      </c>
      <c r="BQ269" s="10">
        <v>0</v>
      </c>
      <c r="BR269" s="10">
        <v>5</v>
      </c>
      <c r="BS269" s="10">
        <v>61</v>
      </c>
    </row>
    <row r="270" spans="1:71" x14ac:dyDescent="0.55000000000000004">
      <c r="A270" s="10">
        <v>322</v>
      </c>
      <c r="B270" s="10">
        <v>2022</v>
      </c>
      <c r="C270" s="10">
        <v>0</v>
      </c>
      <c r="D270" s="10">
        <v>56095</v>
      </c>
      <c r="E270" s="10">
        <v>35018</v>
      </c>
      <c r="F270" s="10">
        <v>11314</v>
      </c>
      <c r="G270" s="10">
        <v>7065</v>
      </c>
      <c r="H270" s="10">
        <v>3147</v>
      </c>
      <c r="I270" s="10">
        <v>28784</v>
      </c>
      <c r="J270" s="10">
        <v>0</v>
      </c>
      <c r="K270" s="10">
        <v>0</v>
      </c>
      <c r="L270" s="10">
        <v>2091</v>
      </c>
      <c r="M270" s="10">
        <v>5800</v>
      </c>
      <c r="N270" s="10">
        <v>3631</v>
      </c>
      <c r="O270" s="10">
        <v>9453</v>
      </c>
      <c r="P270" s="10">
        <v>15499</v>
      </c>
      <c r="Q270" s="10">
        <v>3895</v>
      </c>
      <c r="R270" s="10">
        <v>1566</v>
      </c>
      <c r="S270" s="10">
        <v>117361</v>
      </c>
      <c r="T270" s="10">
        <v>65997</v>
      </c>
      <c r="U270" s="10">
        <v>0</v>
      </c>
      <c r="V270" s="10">
        <v>22.221107050539263</v>
      </c>
      <c r="W270" s="10">
        <v>0</v>
      </c>
      <c r="X270" s="10">
        <v>11.998115255011708</v>
      </c>
      <c r="Y270" s="10">
        <v>25.354162983913735</v>
      </c>
      <c r="Z270" s="10">
        <v>16.465675866949752</v>
      </c>
      <c r="AA270" s="10">
        <v>15.131871623768667</v>
      </c>
      <c r="AB270" s="10">
        <v>29.523763201778767</v>
      </c>
      <c r="AC270" s="10">
        <v>0</v>
      </c>
      <c r="AD270" s="10">
        <v>0</v>
      </c>
      <c r="AE270" s="10">
        <v>25.923959827833574</v>
      </c>
      <c r="AF270" s="10">
        <v>39.307586206896552</v>
      </c>
      <c r="AG270" s="10">
        <v>16.483613329661249</v>
      </c>
      <c r="AH270" s="10">
        <v>25.183433830529989</v>
      </c>
      <c r="AI270" s="10">
        <v>36.039034776437191</v>
      </c>
      <c r="AJ270" s="10">
        <v>0</v>
      </c>
      <c r="AK270" s="10">
        <v>26.203851091142489</v>
      </c>
      <c r="AL270" s="10">
        <v>24.028097062579821</v>
      </c>
      <c r="AM270" s="10">
        <v>0</v>
      </c>
      <c r="AN270" s="10">
        <v>0</v>
      </c>
      <c r="AO270" s="10">
        <v>6</v>
      </c>
      <c r="AP270" s="10">
        <v>10</v>
      </c>
      <c r="AQ270" s="10">
        <v>10</v>
      </c>
      <c r="AR270" s="10">
        <v>5</v>
      </c>
      <c r="AS270" s="10">
        <v>1</v>
      </c>
      <c r="AT270" s="10">
        <v>11</v>
      </c>
      <c r="AU270" s="10">
        <v>4</v>
      </c>
      <c r="AV270" s="10">
        <v>0</v>
      </c>
      <c r="AW270" s="10">
        <v>0</v>
      </c>
      <c r="AX270" s="10">
        <v>4</v>
      </c>
      <c r="AY270" s="10">
        <v>1</v>
      </c>
      <c r="AZ270" s="10">
        <v>9</v>
      </c>
      <c r="BA270" s="10">
        <v>2</v>
      </c>
      <c r="BB270" s="10">
        <v>6</v>
      </c>
      <c r="BC270" s="10">
        <v>69</v>
      </c>
      <c r="BD270" s="10">
        <v>0</v>
      </c>
      <c r="BE270" s="10">
        <v>1</v>
      </c>
      <c r="BF270" s="10">
        <v>14</v>
      </c>
      <c r="BG270" s="10">
        <v>16</v>
      </c>
      <c r="BH270" s="10">
        <v>2</v>
      </c>
      <c r="BI270" s="10">
        <v>0</v>
      </c>
      <c r="BJ270" s="10">
        <v>2</v>
      </c>
      <c r="BK270" s="10">
        <v>1</v>
      </c>
      <c r="BL270" s="10">
        <v>0</v>
      </c>
      <c r="BM270" s="10">
        <v>0</v>
      </c>
      <c r="BN270" s="10">
        <v>0</v>
      </c>
      <c r="BO270" s="10">
        <v>0</v>
      </c>
      <c r="BP270" s="10">
        <v>1</v>
      </c>
      <c r="BQ270" s="10">
        <v>0</v>
      </c>
      <c r="BR270" s="10">
        <v>0</v>
      </c>
      <c r="BS270" s="10">
        <v>37</v>
      </c>
    </row>
    <row r="271" spans="1:71" x14ac:dyDescent="0.55000000000000004">
      <c r="A271" s="10">
        <v>925</v>
      </c>
      <c r="B271" s="10">
        <v>2022</v>
      </c>
      <c r="C271" s="10">
        <v>9399</v>
      </c>
      <c r="D271" s="10">
        <v>56409</v>
      </c>
      <c r="E271" s="10">
        <v>36892</v>
      </c>
      <c r="F271" s="10">
        <v>7785</v>
      </c>
      <c r="G271" s="10">
        <v>6582</v>
      </c>
      <c r="H271" s="10">
        <v>4423</v>
      </c>
      <c r="I271" s="10">
        <v>16899</v>
      </c>
      <c r="J271" s="10">
        <v>0</v>
      </c>
      <c r="K271" s="10">
        <v>0</v>
      </c>
      <c r="L271" s="10">
        <v>9752</v>
      </c>
      <c r="M271" s="10">
        <v>11975</v>
      </c>
      <c r="N271" s="10">
        <v>11867</v>
      </c>
      <c r="O271" s="10">
        <v>4820</v>
      </c>
      <c r="P271" s="10">
        <v>30351</v>
      </c>
      <c r="Q271" s="10">
        <v>3316</v>
      </c>
      <c r="R271" s="10">
        <v>19036</v>
      </c>
      <c r="S271" s="10">
        <v>169004</v>
      </c>
      <c r="T271" s="10">
        <v>60502</v>
      </c>
      <c r="U271" s="10">
        <v>17.863815299499947</v>
      </c>
      <c r="V271" s="10">
        <v>23.033115283022212</v>
      </c>
      <c r="W271" s="10">
        <v>30.506172839506171</v>
      </c>
      <c r="X271" s="10">
        <v>15.152770248292311</v>
      </c>
      <c r="Y271" s="10">
        <v>39.991393705844573</v>
      </c>
      <c r="Z271" s="10">
        <v>17.07262230325129</v>
      </c>
      <c r="AA271" s="10">
        <v>16.37372823875198</v>
      </c>
      <c r="AB271" s="10">
        <v>33.05515119237824</v>
      </c>
      <c r="AC271" s="10">
        <v>49.571428571428569</v>
      </c>
      <c r="AD271" s="10">
        <v>0</v>
      </c>
      <c r="AE271" s="10">
        <v>18.135664479081214</v>
      </c>
      <c r="AF271" s="10">
        <v>38.253444676409181</v>
      </c>
      <c r="AG271" s="10">
        <v>24.944130782843178</v>
      </c>
      <c r="AH271" s="10">
        <v>23.520954356846474</v>
      </c>
      <c r="AI271" s="10">
        <v>39.158314388323284</v>
      </c>
      <c r="AJ271" s="10">
        <v>63.076388888888893</v>
      </c>
      <c r="AK271" s="10">
        <v>27.367913148371532</v>
      </c>
      <c r="AL271" s="10">
        <v>24.175299432653919</v>
      </c>
      <c r="AM271" s="10">
        <v>0</v>
      </c>
      <c r="AN271" s="10">
        <v>5</v>
      </c>
      <c r="AO271" s="10">
        <v>4</v>
      </c>
      <c r="AP271" s="10">
        <v>24</v>
      </c>
      <c r="AQ271" s="10">
        <v>15</v>
      </c>
      <c r="AR271" s="10">
        <v>4</v>
      </c>
      <c r="AS271" s="10">
        <v>2</v>
      </c>
      <c r="AT271" s="10">
        <v>7</v>
      </c>
      <c r="AU271" s="10">
        <v>1</v>
      </c>
      <c r="AV271" s="10">
        <v>0</v>
      </c>
      <c r="AW271" s="10">
        <v>4</v>
      </c>
      <c r="AX271" s="10">
        <v>7</v>
      </c>
      <c r="AY271" s="10">
        <v>3</v>
      </c>
      <c r="AZ271" s="10">
        <v>7</v>
      </c>
      <c r="BA271" s="10">
        <v>1</v>
      </c>
      <c r="BB271" s="10">
        <v>2</v>
      </c>
      <c r="BC271" s="10">
        <v>86</v>
      </c>
      <c r="BD271" s="10">
        <v>2</v>
      </c>
      <c r="BE271" s="10">
        <v>0</v>
      </c>
      <c r="BF271" s="10">
        <v>13</v>
      </c>
      <c r="BG271" s="10">
        <v>7</v>
      </c>
      <c r="BH271" s="10">
        <v>0</v>
      </c>
      <c r="BI271" s="10">
        <v>1</v>
      </c>
      <c r="BJ271" s="10">
        <v>0</v>
      </c>
      <c r="BK271" s="10">
        <v>0</v>
      </c>
      <c r="BL271" s="10">
        <v>0</v>
      </c>
      <c r="BM271" s="10">
        <v>0</v>
      </c>
      <c r="BN271" s="10">
        <v>0</v>
      </c>
      <c r="BO271" s="10">
        <v>5</v>
      </c>
      <c r="BP271" s="10">
        <v>0</v>
      </c>
      <c r="BQ271" s="10">
        <v>0</v>
      </c>
      <c r="BR271" s="10">
        <v>2</v>
      </c>
      <c r="BS271" s="10">
        <v>30</v>
      </c>
    </row>
    <row r="272" spans="1:71" x14ac:dyDescent="0.55000000000000004">
      <c r="A272" s="10">
        <v>902</v>
      </c>
      <c r="B272" s="10">
        <v>2022</v>
      </c>
      <c r="C272" s="10">
        <v>7841</v>
      </c>
      <c r="D272" s="10">
        <v>57416</v>
      </c>
      <c r="E272" s="10">
        <v>26275</v>
      </c>
      <c r="F272" s="10">
        <v>12337</v>
      </c>
      <c r="G272" s="10">
        <v>14285</v>
      </c>
      <c r="H272" s="10">
        <v>4792</v>
      </c>
      <c r="I272" s="10">
        <v>21590</v>
      </c>
      <c r="J272" s="10">
        <v>0</v>
      </c>
      <c r="K272" s="10">
        <v>0</v>
      </c>
      <c r="L272" s="10">
        <v>3475</v>
      </c>
      <c r="M272" s="10">
        <v>4976</v>
      </c>
      <c r="N272" s="10">
        <v>391</v>
      </c>
      <c r="O272" s="10">
        <v>4017</v>
      </c>
      <c r="P272" s="10">
        <v>16741</v>
      </c>
      <c r="Q272" s="10">
        <v>4338</v>
      </c>
      <c r="R272" s="10">
        <v>3387</v>
      </c>
      <c r="S272" s="10">
        <v>120155</v>
      </c>
      <c r="T272" s="10">
        <v>61706</v>
      </c>
      <c r="U272" s="10">
        <v>20.472388725927814</v>
      </c>
      <c r="V272" s="10">
        <v>21.704925456318794</v>
      </c>
      <c r="W272" s="10">
        <v>33.496413373860186</v>
      </c>
      <c r="X272" s="10">
        <v>14.563273073263558</v>
      </c>
      <c r="Y272" s="10">
        <v>18.578584745075787</v>
      </c>
      <c r="Z272" s="10">
        <v>18.020511025551276</v>
      </c>
      <c r="AA272" s="10">
        <v>13.703046744574291</v>
      </c>
      <c r="AB272" s="10">
        <v>34.621769337656325</v>
      </c>
      <c r="AC272" s="10">
        <v>44.588646532438482</v>
      </c>
      <c r="AD272" s="10">
        <v>0</v>
      </c>
      <c r="AE272" s="10">
        <v>35.85093525179856</v>
      </c>
      <c r="AF272" s="10">
        <v>41.817122186495169</v>
      </c>
      <c r="AG272" s="10">
        <v>14.194373401534527</v>
      </c>
      <c r="AH272" s="10">
        <v>26.664675130694551</v>
      </c>
      <c r="AI272" s="10">
        <v>38.283256675228479</v>
      </c>
      <c r="AJ272" s="10">
        <v>60.198852772466545</v>
      </c>
      <c r="AK272" s="10">
        <v>29.842093130474872</v>
      </c>
      <c r="AL272" s="10">
        <v>26.168290522586357</v>
      </c>
      <c r="AM272" s="10">
        <v>0</v>
      </c>
      <c r="AN272" s="10">
        <v>4</v>
      </c>
      <c r="AO272" s="10">
        <v>7</v>
      </c>
      <c r="AP272" s="10">
        <v>21</v>
      </c>
      <c r="AQ272" s="10">
        <v>10</v>
      </c>
      <c r="AR272" s="10">
        <v>6</v>
      </c>
      <c r="AS272" s="10">
        <v>1</v>
      </c>
      <c r="AT272" s="10">
        <v>7</v>
      </c>
      <c r="AU272" s="10">
        <v>2</v>
      </c>
      <c r="AV272" s="10">
        <v>0</v>
      </c>
      <c r="AW272" s="10">
        <v>1</v>
      </c>
      <c r="AX272" s="10">
        <v>4</v>
      </c>
      <c r="AY272" s="10">
        <v>0</v>
      </c>
      <c r="AZ272" s="10">
        <v>8</v>
      </c>
      <c r="BA272" s="10">
        <v>2</v>
      </c>
      <c r="BB272" s="10">
        <v>0</v>
      </c>
      <c r="BC272" s="10">
        <v>73</v>
      </c>
      <c r="BD272" s="10">
        <v>0</v>
      </c>
      <c r="BE272" s="10">
        <v>1</v>
      </c>
      <c r="BF272" s="10">
        <v>10</v>
      </c>
      <c r="BG272" s="10">
        <v>6</v>
      </c>
      <c r="BH272" s="10">
        <v>4</v>
      </c>
      <c r="BI272" s="10">
        <v>0</v>
      </c>
      <c r="BJ272" s="10">
        <v>4</v>
      </c>
      <c r="BK272" s="10">
        <v>0</v>
      </c>
      <c r="BL272" s="10">
        <v>0</v>
      </c>
      <c r="BM272" s="10">
        <v>0</v>
      </c>
      <c r="BN272" s="10">
        <v>0</v>
      </c>
      <c r="BO272" s="10">
        <v>0</v>
      </c>
      <c r="BP272" s="10">
        <v>3</v>
      </c>
      <c r="BQ272" s="10">
        <v>0</v>
      </c>
      <c r="BR272" s="10">
        <v>0</v>
      </c>
      <c r="BS272" s="10">
        <v>28</v>
      </c>
    </row>
    <row r="273" spans="1:71" x14ac:dyDescent="0.55000000000000004">
      <c r="A273" s="10">
        <v>296</v>
      </c>
      <c r="B273" s="10">
        <v>2022</v>
      </c>
      <c r="C273" s="10">
        <v>5496</v>
      </c>
      <c r="D273" s="10">
        <v>57446</v>
      </c>
      <c r="E273" s="10">
        <v>9888</v>
      </c>
      <c r="F273" s="10">
        <v>7327</v>
      </c>
      <c r="G273" s="10">
        <v>4199</v>
      </c>
      <c r="H273" s="10">
        <v>2115</v>
      </c>
      <c r="I273" s="10">
        <v>17996</v>
      </c>
      <c r="J273" s="10">
        <v>0</v>
      </c>
      <c r="K273" s="10">
        <v>0</v>
      </c>
      <c r="L273" s="10">
        <v>4182</v>
      </c>
      <c r="M273" s="10">
        <v>6728</v>
      </c>
      <c r="N273" s="10">
        <v>1278</v>
      </c>
      <c r="O273" s="10">
        <v>2306</v>
      </c>
      <c r="P273" s="10">
        <v>20908</v>
      </c>
      <c r="Q273" s="10">
        <v>4078</v>
      </c>
      <c r="R273" s="10">
        <v>4510</v>
      </c>
      <c r="S273" s="10">
        <v>122622</v>
      </c>
      <c r="T273" s="10">
        <v>25835</v>
      </c>
      <c r="U273" s="10">
        <v>18.278020378457057</v>
      </c>
      <c r="V273" s="10">
        <v>17.387494342512969</v>
      </c>
      <c r="W273" s="10">
        <v>29.462626995645863</v>
      </c>
      <c r="X273" s="10">
        <v>32.894619741100321</v>
      </c>
      <c r="Y273" s="10">
        <v>41.18452299713389</v>
      </c>
      <c r="Z273" s="10">
        <v>17.995475113122172</v>
      </c>
      <c r="AA273" s="10">
        <v>19.571631205673757</v>
      </c>
      <c r="AB273" s="10">
        <v>28.655645699044232</v>
      </c>
      <c r="AC273" s="10">
        <v>45.016921980762376</v>
      </c>
      <c r="AD273" s="10">
        <v>0</v>
      </c>
      <c r="AE273" s="10">
        <v>22.034911525585844</v>
      </c>
      <c r="AF273" s="10">
        <v>46.908590963139119</v>
      </c>
      <c r="AG273" s="10">
        <v>28.150234741784036</v>
      </c>
      <c r="AH273" s="10">
        <v>32.977883781439722</v>
      </c>
      <c r="AI273" s="10">
        <v>46.641955232446911</v>
      </c>
      <c r="AJ273" s="10">
        <v>99.759964570416301</v>
      </c>
      <c r="AK273" s="10">
        <v>28.080186365865622</v>
      </c>
      <c r="AL273" s="10">
        <v>21.636141906873615</v>
      </c>
      <c r="AM273" s="10">
        <v>0</v>
      </c>
      <c r="AN273" s="10">
        <v>2</v>
      </c>
      <c r="AO273" s="10">
        <v>3</v>
      </c>
      <c r="AP273" s="10">
        <v>18</v>
      </c>
      <c r="AQ273" s="10">
        <v>1</v>
      </c>
      <c r="AR273" s="10">
        <v>2</v>
      </c>
      <c r="AS273" s="10">
        <v>1</v>
      </c>
      <c r="AT273" s="10">
        <v>7</v>
      </c>
      <c r="AU273" s="10">
        <v>5</v>
      </c>
      <c r="AV273" s="10">
        <v>0</v>
      </c>
      <c r="AW273" s="10">
        <v>1</v>
      </c>
      <c r="AX273" s="10">
        <v>4</v>
      </c>
      <c r="AY273" s="10">
        <v>0</v>
      </c>
      <c r="AZ273" s="10">
        <v>3</v>
      </c>
      <c r="BA273" s="10">
        <v>2</v>
      </c>
      <c r="BB273" s="10">
        <v>1</v>
      </c>
      <c r="BC273" s="10">
        <v>50</v>
      </c>
      <c r="BD273" s="10">
        <v>0</v>
      </c>
      <c r="BE273" s="10">
        <v>0</v>
      </c>
      <c r="BF273" s="10">
        <v>14</v>
      </c>
      <c r="BG273" s="10">
        <v>2</v>
      </c>
      <c r="BH273" s="10">
        <v>1</v>
      </c>
      <c r="BI273" s="10">
        <v>0</v>
      </c>
      <c r="BJ273" s="10">
        <v>1</v>
      </c>
      <c r="BK273" s="10">
        <v>0</v>
      </c>
      <c r="BL273" s="10">
        <v>0</v>
      </c>
      <c r="BM273" s="10">
        <v>0</v>
      </c>
      <c r="BN273" s="10">
        <v>0</v>
      </c>
      <c r="BO273" s="10">
        <v>0</v>
      </c>
      <c r="BP273" s="10">
        <v>0</v>
      </c>
      <c r="BQ273" s="10">
        <v>0</v>
      </c>
      <c r="BR273" s="10">
        <v>0</v>
      </c>
      <c r="BS273" s="10">
        <v>18</v>
      </c>
    </row>
    <row r="274" spans="1:71" x14ac:dyDescent="0.55000000000000004">
      <c r="A274" s="10">
        <v>218</v>
      </c>
      <c r="B274" s="10">
        <v>2022</v>
      </c>
      <c r="C274" s="10">
        <v>5385</v>
      </c>
      <c r="D274" s="10">
        <v>58083</v>
      </c>
      <c r="E274" s="10">
        <v>24623</v>
      </c>
      <c r="F274" s="10">
        <v>9574</v>
      </c>
      <c r="G274" s="10">
        <v>15313</v>
      </c>
      <c r="H274" s="10">
        <v>1746</v>
      </c>
      <c r="I274" s="10">
        <v>22362</v>
      </c>
      <c r="J274" s="10">
        <v>0</v>
      </c>
      <c r="K274" s="10">
        <v>0</v>
      </c>
      <c r="L274" s="10">
        <v>5757</v>
      </c>
      <c r="M274" s="10">
        <v>8769</v>
      </c>
      <c r="N274" s="10">
        <v>0</v>
      </c>
      <c r="O274" s="10">
        <v>4756</v>
      </c>
      <c r="P274" s="10">
        <v>7124</v>
      </c>
      <c r="Q274" s="10">
        <v>5518</v>
      </c>
      <c r="R274" s="10">
        <v>3743</v>
      </c>
      <c r="S274" s="10">
        <v>116741</v>
      </c>
      <c r="T274" s="10">
        <v>56012</v>
      </c>
      <c r="U274" s="10">
        <v>15.798885793871866</v>
      </c>
      <c r="V274" s="10">
        <v>19.902536026031711</v>
      </c>
      <c r="W274" s="10">
        <v>22.209954878736603</v>
      </c>
      <c r="X274" s="10">
        <v>22.311984729724241</v>
      </c>
      <c r="Y274" s="10">
        <v>31.44934196782954</v>
      </c>
      <c r="Z274" s="10">
        <v>16.555671651537907</v>
      </c>
      <c r="AA274" s="10">
        <v>15.506872852233677</v>
      </c>
      <c r="AB274" s="10">
        <v>31.671585725784812</v>
      </c>
      <c r="AC274" s="10">
        <v>16.840537944284343</v>
      </c>
      <c r="AD274" s="10">
        <v>0</v>
      </c>
      <c r="AE274" s="10">
        <v>24.333507034914017</v>
      </c>
      <c r="AF274" s="10">
        <v>39.000684228532329</v>
      </c>
      <c r="AG274" s="10">
        <v>0</v>
      </c>
      <c r="AH274" s="10">
        <v>22.950378469301935</v>
      </c>
      <c r="AI274" s="10">
        <v>39.132509825940481</v>
      </c>
      <c r="AJ274" s="10">
        <v>30.072866730584849</v>
      </c>
      <c r="AK274" s="10">
        <v>29.289416455237404</v>
      </c>
      <c r="AL274" s="10">
        <v>22.674058242051832</v>
      </c>
      <c r="AM274" s="10">
        <v>-1.905</v>
      </c>
      <c r="AN274" s="10">
        <v>2</v>
      </c>
      <c r="AO274" s="10">
        <v>5</v>
      </c>
      <c r="AP274" s="10">
        <v>18</v>
      </c>
      <c r="AQ274" s="10">
        <v>10</v>
      </c>
      <c r="AR274" s="10">
        <v>5</v>
      </c>
      <c r="AS274" s="10">
        <v>0</v>
      </c>
      <c r="AT274" s="10">
        <v>9</v>
      </c>
      <c r="AU274" s="10">
        <v>2</v>
      </c>
      <c r="AV274" s="10">
        <v>0</v>
      </c>
      <c r="AW274" s="10">
        <v>1</v>
      </c>
      <c r="AX274" s="10">
        <v>3</v>
      </c>
      <c r="AY274" s="10">
        <v>0</v>
      </c>
      <c r="AZ274" s="10">
        <v>1</v>
      </c>
      <c r="BA274" s="10">
        <v>2</v>
      </c>
      <c r="BB274" s="10">
        <v>1</v>
      </c>
      <c r="BC274" s="10">
        <v>59</v>
      </c>
      <c r="BD274" s="10">
        <v>2</v>
      </c>
      <c r="BE274" s="10">
        <v>3</v>
      </c>
      <c r="BF274" s="10">
        <v>5</v>
      </c>
      <c r="BG274" s="10">
        <v>3</v>
      </c>
      <c r="BH274" s="10">
        <v>2</v>
      </c>
      <c r="BI274" s="10">
        <v>0</v>
      </c>
      <c r="BJ274" s="10">
        <v>0</v>
      </c>
      <c r="BK274" s="10">
        <v>1</v>
      </c>
      <c r="BL274" s="10">
        <v>0</v>
      </c>
      <c r="BM274" s="10">
        <v>0</v>
      </c>
      <c r="BN274" s="10">
        <v>0</v>
      </c>
      <c r="BO274" s="10">
        <v>0</v>
      </c>
      <c r="BP274" s="10">
        <v>0</v>
      </c>
      <c r="BQ274" s="10">
        <v>1</v>
      </c>
      <c r="BR274" s="10">
        <v>0</v>
      </c>
      <c r="BS274" s="10">
        <v>17</v>
      </c>
    </row>
    <row r="275" spans="1:71" x14ac:dyDescent="0.55000000000000004">
      <c r="A275" s="10">
        <v>814</v>
      </c>
      <c r="B275" s="10">
        <v>2022</v>
      </c>
      <c r="C275" s="10">
        <v>6857</v>
      </c>
      <c r="D275" s="10">
        <v>58126</v>
      </c>
      <c r="E275" s="10">
        <v>24965</v>
      </c>
      <c r="F275" s="10">
        <v>2753</v>
      </c>
      <c r="G275" s="10">
        <v>9763</v>
      </c>
      <c r="H275" s="10">
        <v>1586</v>
      </c>
      <c r="I275" s="10">
        <v>26924</v>
      </c>
      <c r="J275" s="10">
        <v>0</v>
      </c>
      <c r="K275" s="10">
        <v>0</v>
      </c>
      <c r="L275" s="10">
        <v>8609</v>
      </c>
      <c r="M275" s="10">
        <v>6719</v>
      </c>
      <c r="N275" s="10">
        <v>2000</v>
      </c>
      <c r="O275" s="10">
        <v>4687</v>
      </c>
      <c r="P275" s="10">
        <v>14225</v>
      </c>
      <c r="Q275" s="10">
        <v>1202</v>
      </c>
      <c r="R275" s="10">
        <v>11103</v>
      </c>
      <c r="S275" s="10">
        <v>135765</v>
      </c>
      <c r="T275" s="10">
        <v>43754</v>
      </c>
      <c r="U275" s="10">
        <v>23.185503864663847</v>
      </c>
      <c r="V275" s="10">
        <v>23.994597942400993</v>
      </c>
      <c r="W275" s="10">
        <v>37.970300914119818</v>
      </c>
      <c r="X275" s="10">
        <v>17.062767875025035</v>
      </c>
      <c r="Y275" s="10">
        <v>101.01489284416999</v>
      </c>
      <c r="Z275" s="10">
        <v>15.474854040766157</v>
      </c>
      <c r="AA275" s="10">
        <v>12.178436317780578</v>
      </c>
      <c r="AB275" s="10">
        <v>30.969469618184519</v>
      </c>
      <c r="AC275" s="10">
        <v>46.8556263269639</v>
      </c>
      <c r="AD275" s="10">
        <v>0</v>
      </c>
      <c r="AE275" s="10">
        <v>29.706702288302939</v>
      </c>
      <c r="AF275" s="10">
        <v>41.041672867986307</v>
      </c>
      <c r="AG275" s="10">
        <v>34.1875</v>
      </c>
      <c r="AH275" s="10">
        <v>26.740132280776617</v>
      </c>
      <c r="AI275" s="10">
        <v>35.554727592267135</v>
      </c>
      <c r="AJ275" s="10">
        <v>57.222093918398762</v>
      </c>
      <c r="AK275" s="10">
        <v>44.276206322795346</v>
      </c>
      <c r="AL275" s="10">
        <v>20.286048815635414</v>
      </c>
      <c r="AM275" s="10">
        <v>35.917032040472172</v>
      </c>
      <c r="AN275" s="10">
        <v>4</v>
      </c>
      <c r="AO275" s="10">
        <v>1</v>
      </c>
      <c r="AP275" s="10">
        <v>13</v>
      </c>
      <c r="AQ275" s="10">
        <v>7</v>
      </c>
      <c r="AR275" s="10">
        <v>5</v>
      </c>
      <c r="AS275" s="10">
        <v>1</v>
      </c>
      <c r="AT275" s="10">
        <v>5</v>
      </c>
      <c r="AU275" s="10">
        <v>3</v>
      </c>
      <c r="AV275" s="10">
        <v>0</v>
      </c>
      <c r="AW275" s="10">
        <v>3</v>
      </c>
      <c r="AX275" s="10">
        <v>3</v>
      </c>
      <c r="AY275" s="10">
        <v>1</v>
      </c>
      <c r="AZ275" s="10">
        <v>2</v>
      </c>
      <c r="BA275" s="10">
        <v>0</v>
      </c>
      <c r="BB275" s="10">
        <v>3</v>
      </c>
      <c r="BC275" s="10">
        <v>51</v>
      </c>
      <c r="BD275" s="10">
        <v>0</v>
      </c>
      <c r="BE275" s="10">
        <v>0</v>
      </c>
      <c r="BF275" s="10">
        <v>10</v>
      </c>
      <c r="BG275" s="10">
        <v>6</v>
      </c>
      <c r="BH275" s="10">
        <v>0</v>
      </c>
      <c r="BI275" s="10">
        <v>0</v>
      </c>
      <c r="BJ275" s="10">
        <v>0</v>
      </c>
      <c r="BK275" s="10">
        <v>1</v>
      </c>
      <c r="BL275" s="10">
        <v>0</v>
      </c>
      <c r="BM275" s="10">
        <v>0</v>
      </c>
      <c r="BN275" s="10">
        <v>0</v>
      </c>
      <c r="BO275" s="10">
        <v>0</v>
      </c>
      <c r="BP275" s="10">
        <v>3</v>
      </c>
      <c r="BQ275" s="10">
        <v>0</v>
      </c>
      <c r="BR275" s="10">
        <v>4</v>
      </c>
      <c r="BS275" s="10">
        <v>24</v>
      </c>
    </row>
    <row r="276" spans="1:71" x14ac:dyDescent="0.55000000000000004">
      <c r="A276" s="10">
        <v>564</v>
      </c>
      <c r="B276" s="10">
        <v>2022</v>
      </c>
      <c r="C276" s="10">
        <v>8039</v>
      </c>
      <c r="D276" s="10">
        <v>59417</v>
      </c>
      <c r="E276" s="10">
        <v>19700</v>
      </c>
      <c r="F276" s="10">
        <v>5986</v>
      </c>
      <c r="G276" s="10">
        <v>17063</v>
      </c>
      <c r="H276" s="10">
        <v>4948</v>
      </c>
      <c r="I276" s="10">
        <v>11253</v>
      </c>
      <c r="J276" s="10">
        <v>0</v>
      </c>
      <c r="K276" s="10">
        <v>0</v>
      </c>
      <c r="L276" s="10">
        <v>5919</v>
      </c>
      <c r="M276" s="10">
        <v>11493</v>
      </c>
      <c r="N276" s="10">
        <v>2123</v>
      </c>
      <c r="O276" s="10">
        <v>5542</v>
      </c>
      <c r="P276" s="10">
        <v>10309</v>
      </c>
      <c r="Q276" s="10">
        <v>2494</v>
      </c>
      <c r="R276" s="10">
        <v>13598</v>
      </c>
      <c r="S276" s="10">
        <v>124645</v>
      </c>
      <c r="T276" s="10">
        <v>53239</v>
      </c>
      <c r="U276" s="10">
        <v>16.874486876477174</v>
      </c>
      <c r="V276" s="10">
        <v>20.209956746385714</v>
      </c>
      <c r="W276" s="10">
        <v>0</v>
      </c>
      <c r="X276" s="10">
        <v>23.473857868020303</v>
      </c>
      <c r="Y276" s="10">
        <v>53.52021383227531</v>
      </c>
      <c r="Z276" s="10">
        <v>16.868839008380707</v>
      </c>
      <c r="AA276" s="10">
        <v>21.883185125303154</v>
      </c>
      <c r="AB276" s="10">
        <v>34.038834088687459</v>
      </c>
      <c r="AC276" s="10">
        <v>0</v>
      </c>
      <c r="AD276" s="10">
        <v>0</v>
      </c>
      <c r="AE276" s="10">
        <v>20.80756884608887</v>
      </c>
      <c r="AF276" s="10">
        <v>37.147220046985126</v>
      </c>
      <c r="AG276" s="10">
        <v>23.591144606688648</v>
      </c>
      <c r="AH276" s="10">
        <v>28.997293395885961</v>
      </c>
      <c r="AI276" s="10">
        <v>43.050150354059561</v>
      </c>
      <c r="AJ276" s="10">
        <v>0</v>
      </c>
      <c r="AK276" s="10">
        <v>32.632718524458703</v>
      </c>
      <c r="AL276" s="10">
        <v>24.025150757464331</v>
      </c>
      <c r="AM276" s="10">
        <v>0</v>
      </c>
      <c r="AN276" s="10">
        <v>3</v>
      </c>
      <c r="AO276" s="10">
        <v>0</v>
      </c>
      <c r="AP276" s="10">
        <v>10</v>
      </c>
      <c r="AQ276" s="10">
        <v>0</v>
      </c>
      <c r="AR276" s="10">
        <v>0</v>
      </c>
      <c r="AS276" s="10">
        <v>0</v>
      </c>
      <c r="AT276" s="10">
        <v>5</v>
      </c>
      <c r="AU276" s="10">
        <v>0</v>
      </c>
      <c r="AV276" s="10">
        <v>0</v>
      </c>
      <c r="AW276" s="10">
        <v>1</v>
      </c>
      <c r="AX276" s="10">
        <v>0</v>
      </c>
      <c r="AY276" s="10">
        <v>1</v>
      </c>
      <c r="AZ276" s="10">
        <v>5</v>
      </c>
      <c r="BA276" s="10">
        <v>2</v>
      </c>
      <c r="BB276" s="10">
        <v>4</v>
      </c>
      <c r="BC276" s="10">
        <v>31</v>
      </c>
      <c r="BD276" s="10">
        <v>0</v>
      </c>
      <c r="BE276" s="10">
        <v>0</v>
      </c>
      <c r="BF276" s="10">
        <v>19</v>
      </c>
      <c r="BG276" s="10">
        <v>0</v>
      </c>
      <c r="BH276" s="10">
        <v>0</v>
      </c>
      <c r="BI276" s="10">
        <v>0</v>
      </c>
      <c r="BJ276" s="10">
        <v>0</v>
      </c>
      <c r="BK276" s="10">
        <v>0</v>
      </c>
      <c r="BL276" s="10">
        <v>0</v>
      </c>
      <c r="BM276" s="10">
        <v>1</v>
      </c>
      <c r="BN276" s="10">
        <v>0</v>
      </c>
      <c r="BO276" s="10">
        <v>1</v>
      </c>
      <c r="BP276" s="10">
        <v>1</v>
      </c>
      <c r="BQ276" s="10">
        <v>0</v>
      </c>
      <c r="BR276" s="10">
        <v>2</v>
      </c>
      <c r="BS276" s="10">
        <v>24</v>
      </c>
    </row>
    <row r="277" spans="1:71" x14ac:dyDescent="0.55000000000000004">
      <c r="A277" s="10">
        <v>951</v>
      </c>
      <c r="B277" s="10">
        <v>2022</v>
      </c>
      <c r="C277" s="10">
        <v>6672</v>
      </c>
      <c r="D277" s="10">
        <v>60123</v>
      </c>
      <c r="E277" s="10">
        <v>20650</v>
      </c>
      <c r="F277" s="10">
        <v>9789</v>
      </c>
      <c r="G277" s="10">
        <v>6815</v>
      </c>
      <c r="H277" s="10">
        <v>2320</v>
      </c>
      <c r="I277" s="10">
        <v>13072</v>
      </c>
      <c r="J277" s="10">
        <v>0</v>
      </c>
      <c r="K277" s="10">
        <v>0</v>
      </c>
      <c r="L277" s="10">
        <v>7683</v>
      </c>
      <c r="M277" s="10">
        <v>4671</v>
      </c>
      <c r="N277" s="10">
        <v>0</v>
      </c>
      <c r="O277" s="10">
        <v>4315</v>
      </c>
      <c r="P277" s="10">
        <v>16636</v>
      </c>
      <c r="Q277" s="10">
        <v>2548</v>
      </c>
      <c r="R277" s="10">
        <v>15178</v>
      </c>
      <c r="S277" s="10">
        <v>126583</v>
      </c>
      <c r="T277" s="10">
        <v>43889</v>
      </c>
      <c r="U277" s="10">
        <v>17.703087529976017</v>
      </c>
      <c r="V277" s="10">
        <v>27.286213262811234</v>
      </c>
      <c r="W277" s="10">
        <v>44.835897435897436</v>
      </c>
      <c r="X277" s="10">
        <v>19.011912832929781</v>
      </c>
      <c r="Y277" s="10">
        <v>25.050566962917561</v>
      </c>
      <c r="Z277" s="10">
        <v>15.753191489361701</v>
      </c>
      <c r="AA277" s="10">
        <v>18.137068965517241</v>
      </c>
      <c r="AB277" s="10">
        <v>20.927096083231334</v>
      </c>
      <c r="AC277" s="10">
        <v>67.344647519582239</v>
      </c>
      <c r="AD277" s="10">
        <v>0</v>
      </c>
      <c r="AE277" s="10">
        <v>21.487960432122868</v>
      </c>
      <c r="AF277" s="10">
        <v>85.001284521515728</v>
      </c>
      <c r="AG277" s="10">
        <v>0</v>
      </c>
      <c r="AH277" s="10">
        <v>20.289455388180762</v>
      </c>
      <c r="AI277" s="10">
        <v>42.905025246453476</v>
      </c>
      <c r="AJ277" s="10">
        <v>76.479689366786147</v>
      </c>
      <c r="AK277" s="10">
        <v>26.872841444270016</v>
      </c>
      <c r="AL277" s="10">
        <v>16.285149558571614</v>
      </c>
      <c r="AM277" s="10">
        <v>53.396475770925107</v>
      </c>
      <c r="AN277" s="10">
        <v>3</v>
      </c>
      <c r="AO277" s="10">
        <v>3</v>
      </c>
      <c r="AP277" s="10">
        <v>13</v>
      </c>
      <c r="AQ277" s="10">
        <v>3</v>
      </c>
      <c r="AR277" s="10">
        <v>0</v>
      </c>
      <c r="AS277" s="10">
        <v>0</v>
      </c>
      <c r="AT277" s="10">
        <v>4</v>
      </c>
      <c r="AU277" s="10">
        <v>2</v>
      </c>
      <c r="AV277" s="10">
        <v>0</v>
      </c>
      <c r="AW277" s="10">
        <v>4</v>
      </c>
      <c r="AX277" s="10">
        <v>6</v>
      </c>
      <c r="AY277" s="10">
        <v>0</v>
      </c>
      <c r="AZ277" s="10">
        <v>6</v>
      </c>
      <c r="BA277" s="10">
        <v>2</v>
      </c>
      <c r="BB277" s="10">
        <v>1</v>
      </c>
      <c r="BC277" s="10">
        <v>47</v>
      </c>
      <c r="BD277" s="10">
        <v>2</v>
      </c>
      <c r="BE277" s="10">
        <v>1</v>
      </c>
      <c r="BF277" s="10">
        <v>5</v>
      </c>
      <c r="BG277" s="10">
        <v>16</v>
      </c>
      <c r="BH277" s="10">
        <v>0</v>
      </c>
      <c r="BI277" s="10">
        <v>0</v>
      </c>
      <c r="BJ277" s="10">
        <v>0</v>
      </c>
      <c r="BK277" s="10">
        <v>0</v>
      </c>
      <c r="BL277" s="10">
        <v>0</v>
      </c>
      <c r="BM277" s="10">
        <v>0</v>
      </c>
      <c r="BN277" s="10">
        <v>0</v>
      </c>
      <c r="BO277" s="10">
        <v>0</v>
      </c>
      <c r="BP277" s="10">
        <v>1</v>
      </c>
      <c r="BQ277" s="10">
        <v>0</v>
      </c>
      <c r="BR277" s="10">
        <v>1</v>
      </c>
      <c r="BS277" s="10">
        <v>26</v>
      </c>
    </row>
    <row r="278" spans="1:71" x14ac:dyDescent="0.55000000000000004">
      <c r="A278" s="10">
        <v>611</v>
      </c>
      <c r="B278" s="10">
        <v>2022</v>
      </c>
      <c r="C278" s="10">
        <v>7512</v>
      </c>
      <c r="D278" s="10">
        <v>60303</v>
      </c>
      <c r="E278" s="10">
        <v>17706</v>
      </c>
      <c r="F278" s="10">
        <v>6319</v>
      </c>
      <c r="G278" s="10">
        <v>7423</v>
      </c>
      <c r="H278" s="10">
        <v>7843</v>
      </c>
      <c r="I278" s="10">
        <v>25903</v>
      </c>
      <c r="J278" s="10">
        <v>0</v>
      </c>
      <c r="K278" s="10">
        <v>0</v>
      </c>
      <c r="L278" s="10">
        <v>4197</v>
      </c>
      <c r="M278" s="10">
        <v>10280</v>
      </c>
      <c r="N278" s="10">
        <v>1292</v>
      </c>
      <c r="O278" s="10">
        <v>11341</v>
      </c>
      <c r="P278" s="10">
        <v>9234</v>
      </c>
      <c r="Q278" s="10">
        <v>6214</v>
      </c>
      <c r="R278" s="10">
        <v>383</v>
      </c>
      <c r="S278" s="10">
        <v>125318</v>
      </c>
      <c r="T278" s="10">
        <v>50632</v>
      </c>
      <c r="U278" s="10">
        <v>16.167997870074547</v>
      </c>
      <c r="V278" s="10">
        <v>19.813110458849479</v>
      </c>
      <c r="W278" s="10">
        <v>0</v>
      </c>
      <c r="X278" s="10">
        <v>17.041228961933808</v>
      </c>
      <c r="Y278" s="10">
        <v>34.786200348156356</v>
      </c>
      <c r="Z278" s="10">
        <v>14.046073016300687</v>
      </c>
      <c r="AA278" s="10">
        <v>14.522759148285093</v>
      </c>
      <c r="AB278" s="10">
        <v>29.105045747596805</v>
      </c>
      <c r="AC278" s="10">
        <v>0</v>
      </c>
      <c r="AD278" s="10">
        <v>0</v>
      </c>
      <c r="AE278" s="10">
        <v>15.411484393614487</v>
      </c>
      <c r="AF278" s="10">
        <v>37.020525291828797</v>
      </c>
      <c r="AG278" s="10">
        <v>26.900154798761612</v>
      </c>
      <c r="AH278" s="10">
        <v>21.749845692619697</v>
      </c>
      <c r="AI278" s="10">
        <v>34.193415637860085</v>
      </c>
      <c r="AJ278" s="10">
        <v>0</v>
      </c>
      <c r="AK278" s="10">
        <v>23.749758609591243</v>
      </c>
      <c r="AL278" s="10">
        <v>20.279373368146214</v>
      </c>
      <c r="AM278" s="10">
        <v>0</v>
      </c>
      <c r="AN278" s="10">
        <v>3</v>
      </c>
      <c r="AO278" s="10">
        <v>8</v>
      </c>
      <c r="AP278" s="10">
        <v>20</v>
      </c>
      <c r="AQ278" s="10">
        <v>10</v>
      </c>
      <c r="AR278" s="10">
        <v>2</v>
      </c>
      <c r="AS278" s="10">
        <v>3</v>
      </c>
      <c r="AT278" s="10">
        <v>9</v>
      </c>
      <c r="AU278" s="10">
        <v>7</v>
      </c>
      <c r="AV278" s="10">
        <v>0</v>
      </c>
      <c r="AW278" s="10">
        <v>2</v>
      </c>
      <c r="AX278" s="10">
        <v>5</v>
      </c>
      <c r="AY278" s="10">
        <v>1</v>
      </c>
      <c r="AZ278" s="10">
        <v>5</v>
      </c>
      <c r="BA278" s="10">
        <v>3</v>
      </c>
      <c r="BB278" s="10">
        <v>0</v>
      </c>
      <c r="BC278" s="10">
        <v>78</v>
      </c>
      <c r="BD278" s="10">
        <v>3</v>
      </c>
      <c r="BE278" s="10">
        <v>0</v>
      </c>
      <c r="BF278" s="10">
        <v>21</v>
      </c>
      <c r="BG278" s="10">
        <v>11</v>
      </c>
      <c r="BH278" s="10">
        <v>3</v>
      </c>
      <c r="BI278" s="10">
        <v>2</v>
      </c>
      <c r="BJ278" s="10">
        <v>1</v>
      </c>
      <c r="BK278" s="10">
        <v>2</v>
      </c>
      <c r="BL278" s="10">
        <v>0</v>
      </c>
      <c r="BM278" s="10">
        <v>0</v>
      </c>
      <c r="BN278" s="10">
        <v>0</v>
      </c>
      <c r="BO278" s="10">
        <v>0</v>
      </c>
      <c r="BP278" s="10">
        <v>1</v>
      </c>
      <c r="BQ278" s="10">
        <v>0</v>
      </c>
      <c r="BR278" s="10">
        <v>2</v>
      </c>
      <c r="BS278" s="10">
        <v>46</v>
      </c>
    </row>
    <row r="279" spans="1:71" x14ac:dyDescent="0.55000000000000004">
      <c r="A279" s="10">
        <v>395</v>
      </c>
      <c r="B279" s="10">
        <v>2022</v>
      </c>
      <c r="C279" s="10">
        <v>8965</v>
      </c>
      <c r="D279" s="10">
        <v>60893</v>
      </c>
      <c r="E279" s="10">
        <v>0</v>
      </c>
      <c r="F279" s="10">
        <v>17622</v>
      </c>
      <c r="G279" s="10">
        <v>15990</v>
      </c>
      <c r="H279" s="10">
        <v>2293</v>
      </c>
      <c r="I279" s="10">
        <v>15723</v>
      </c>
      <c r="J279" s="10">
        <v>1749</v>
      </c>
      <c r="K279" s="10">
        <v>0</v>
      </c>
      <c r="L279" s="10">
        <v>10166</v>
      </c>
      <c r="M279" s="10">
        <v>14533</v>
      </c>
      <c r="N279" s="10">
        <v>1973</v>
      </c>
      <c r="O279" s="10">
        <v>3528</v>
      </c>
      <c r="P279" s="10">
        <v>36116</v>
      </c>
      <c r="Q279" s="10">
        <v>4964</v>
      </c>
      <c r="R279" s="10">
        <v>4217</v>
      </c>
      <c r="S279" s="10">
        <v>159299</v>
      </c>
      <c r="T279" s="10">
        <v>39433</v>
      </c>
      <c r="U279" s="10">
        <v>20.943446737311767</v>
      </c>
      <c r="V279" s="10">
        <v>23.802900169149162</v>
      </c>
      <c r="W279" s="10">
        <v>23.143862579028987</v>
      </c>
      <c r="X279" s="10">
        <v>0</v>
      </c>
      <c r="Y279" s="10">
        <v>29.497219384859832</v>
      </c>
      <c r="Z279" s="10">
        <v>17.967479674796749</v>
      </c>
      <c r="AA279" s="10">
        <v>17.402965547317923</v>
      </c>
      <c r="AB279" s="10">
        <v>36.351904852763468</v>
      </c>
      <c r="AC279" s="10">
        <v>43.828722891566265</v>
      </c>
      <c r="AD279" s="10">
        <v>0</v>
      </c>
      <c r="AE279" s="10">
        <v>27.185421994884912</v>
      </c>
      <c r="AF279" s="10">
        <v>43.794261336269187</v>
      </c>
      <c r="AG279" s="10">
        <v>32.695894576786621</v>
      </c>
      <c r="AH279" s="10">
        <v>23.698696145124718</v>
      </c>
      <c r="AI279" s="10">
        <v>45.832428840403146</v>
      </c>
      <c r="AJ279" s="10">
        <v>18.450479752805332</v>
      </c>
      <c r="AK279" s="10">
        <v>27.658340048348109</v>
      </c>
      <c r="AL279" s="10">
        <v>26.39791320844202</v>
      </c>
      <c r="AM279" s="10">
        <v>0</v>
      </c>
      <c r="AN279" s="10">
        <v>5</v>
      </c>
      <c r="AO279" s="10">
        <v>7</v>
      </c>
      <c r="AP279" s="10">
        <v>17</v>
      </c>
      <c r="AQ279" s="10">
        <v>0</v>
      </c>
      <c r="AR279" s="10">
        <v>6</v>
      </c>
      <c r="AS279" s="10">
        <v>0</v>
      </c>
      <c r="AT279" s="10">
        <v>4</v>
      </c>
      <c r="AU279" s="10">
        <v>0</v>
      </c>
      <c r="AV279" s="10">
        <v>0</v>
      </c>
      <c r="AW279" s="10">
        <v>6</v>
      </c>
      <c r="AX279" s="10">
        <v>9</v>
      </c>
      <c r="AY279" s="10">
        <v>1</v>
      </c>
      <c r="AZ279" s="10">
        <v>15</v>
      </c>
      <c r="BA279" s="10">
        <v>2</v>
      </c>
      <c r="BB279" s="10">
        <v>1</v>
      </c>
      <c r="BC279" s="10">
        <v>73</v>
      </c>
      <c r="BD279" s="10">
        <v>1</v>
      </c>
      <c r="BE279" s="10">
        <v>3</v>
      </c>
      <c r="BF279" s="10">
        <v>5</v>
      </c>
      <c r="BG279" s="10">
        <v>0</v>
      </c>
      <c r="BH279" s="10">
        <v>2</v>
      </c>
      <c r="BI279" s="10">
        <v>0</v>
      </c>
      <c r="BJ279" s="10">
        <v>2</v>
      </c>
      <c r="BK279" s="10">
        <v>0</v>
      </c>
      <c r="BL279" s="10">
        <v>0</v>
      </c>
      <c r="BM279" s="10">
        <v>0</v>
      </c>
      <c r="BN279" s="10">
        <v>0</v>
      </c>
      <c r="BO279" s="10">
        <v>0</v>
      </c>
      <c r="BP279" s="10">
        <v>2</v>
      </c>
      <c r="BQ279" s="10">
        <v>0</v>
      </c>
      <c r="BR279" s="10">
        <v>1</v>
      </c>
      <c r="BS279" s="10">
        <v>16</v>
      </c>
    </row>
    <row r="280" spans="1:71" x14ac:dyDescent="0.55000000000000004">
      <c r="A280" s="10">
        <v>731</v>
      </c>
      <c r="B280" s="10">
        <v>2022</v>
      </c>
      <c r="C280" s="10">
        <v>2564</v>
      </c>
      <c r="D280" s="10">
        <v>61464</v>
      </c>
      <c r="E280" s="10">
        <v>18025</v>
      </c>
      <c r="F280" s="10">
        <v>9880</v>
      </c>
      <c r="G280" s="10">
        <v>10291</v>
      </c>
      <c r="H280" s="10">
        <v>0</v>
      </c>
      <c r="I280" s="10">
        <v>9161</v>
      </c>
      <c r="J280" s="10">
        <v>0</v>
      </c>
      <c r="K280" s="10">
        <v>0</v>
      </c>
      <c r="L280" s="10">
        <v>11394</v>
      </c>
      <c r="M280" s="10">
        <v>16254</v>
      </c>
      <c r="N280" s="10">
        <v>830</v>
      </c>
      <c r="O280" s="10">
        <v>3568</v>
      </c>
      <c r="P280" s="10">
        <v>30415</v>
      </c>
      <c r="Q280" s="10">
        <v>9692</v>
      </c>
      <c r="R280" s="10">
        <v>0</v>
      </c>
      <c r="S280" s="10">
        <v>141774</v>
      </c>
      <c r="T280" s="10">
        <v>41764</v>
      </c>
      <c r="U280" s="10">
        <v>20.795631825273009</v>
      </c>
      <c r="V280" s="10">
        <v>27.728686710920211</v>
      </c>
      <c r="W280" s="10">
        <v>34.442745608327911</v>
      </c>
      <c r="X280" s="10">
        <v>24.996061026352287</v>
      </c>
      <c r="Y280" s="10">
        <v>33.322570850202425</v>
      </c>
      <c r="Z280" s="10">
        <v>18.788261587795159</v>
      </c>
      <c r="AA280" s="10">
        <v>0</v>
      </c>
      <c r="AB280" s="10">
        <v>38.978277480624385</v>
      </c>
      <c r="AC280" s="10">
        <v>50.720909090909089</v>
      </c>
      <c r="AD280" s="10">
        <v>0</v>
      </c>
      <c r="AE280" s="10">
        <v>26.074776197998947</v>
      </c>
      <c r="AF280" s="10">
        <v>47.403592961732492</v>
      </c>
      <c r="AG280" s="10">
        <v>26.091566265060241</v>
      </c>
      <c r="AH280" s="10">
        <v>32.183856502242151</v>
      </c>
      <c r="AI280" s="10">
        <v>45.380240013151401</v>
      </c>
      <c r="AJ280" s="10">
        <v>62.288843321838009</v>
      </c>
      <c r="AK280" s="10">
        <v>27.079446966570362</v>
      </c>
      <c r="AL280" s="10">
        <v>0</v>
      </c>
      <c r="AM280" s="10">
        <v>0</v>
      </c>
      <c r="AN280" s="10">
        <v>2</v>
      </c>
      <c r="AO280" s="10">
        <v>4</v>
      </c>
      <c r="AP280" s="10">
        <v>40</v>
      </c>
      <c r="AQ280" s="10">
        <v>8</v>
      </c>
      <c r="AR280" s="10">
        <v>6</v>
      </c>
      <c r="AS280" s="10">
        <v>0</v>
      </c>
      <c r="AT280" s="10">
        <v>5</v>
      </c>
      <c r="AU280" s="10">
        <v>1</v>
      </c>
      <c r="AV280" s="10">
        <v>0</v>
      </c>
      <c r="AW280" s="10">
        <v>4</v>
      </c>
      <c r="AX280" s="10">
        <v>8</v>
      </c>
      <c r="AY280" s="10">
        <v>1</v>
      </c>
      <c r="AZ280" s="10">
        <v>9</v>
      </c>
      <c r="BA280" s="10">
        <v>2</v>
      </c>
      <c r="BB280" s="10">
        <v>0</v>
      </c>
      <c r="BC280" s="10">
        <v>90</v>
      </c>
      <c r="BD280" s="10">
        <v>0</v>
      </c>
      <c r="BE280" s="10">
        <v>3</v>
      </c>
      <c r="BF280" s="10">
        <v>9</v>
      </c>
      <c r="BG280" s="10">
        <v>2</v>
      </c>
      <c r="BH280" s="10">
        <v>0</v>
      </c>
      <c r="BI280" s="10">
        <v>0</v>
      </c>
      <c r="BJ280" s="10">
        <v>1</v>
      </c>
      <c r="BK280" s="10">
        <v>0</v>
      </c>
      <c r="BL280" s="10">
        <v>0</v>
      </c>
      <c r="BM280" s="10">
        <v>0</v>
      </c>
      <c r="BN280" s="10">
        <v>0</v>
      </c>
      <c r="BO280" s="10">
        <v>0</v>
      </c>
      <c r="BP280" s="10">
        <v>4</v>
      </c>
      <c r="BQ280" s="10">
        <v>0</v>
      </c>
      <c r="BR280" s="10">
        <v>0</v>
      </c>
      <c r="BS280" s="10">
        <v>19</v>
      </c>
    </row>
    <row r="281" spans="1:71" x14ac:dyDescent="0.55000000000000004">
      <c r="A281" s="10">
        <v>209</v>
      </c>
      <c r="B281" s="10">
        <v>2022</v>
      </c>
      <c r="C281" s="10">
        <v>2583</v>
      </c>
      <c r="D281" s="10">
        <v>61799</v>
      </c>
      <c r="E281" s="10">
        <v>22334</v>
      </c>
      <c r="F281" s="10">
        <v>5622</v>
      </c>
      <c r="G281" s="10">
        <v>7607</v>
      </c>
      <c r="H281" s="10">
        <v>2474</v>
      </c>
      <c r="I281" s="10">
        <v>17187</v>
      </c>
      <c r="J281" s="10">
        <v>0</v>
      </c>
      <c r="K281" s="10">
        <v>0</v>
      </c>
      <c r="L281" s="10">
        <v>3545</v>
      </c>
      <c r="M281" s="10">
        <v>11737</v>
      </c>
      <c r="N281" s="10">
        <v>637</v>
      </c>
      <c r="O281" s="10">
        <v>2963</v>
      </c>
      <c r="P281" s="10">
        <v>35114</v>
      </c>
      <c r="Q281" s="10">
        <v>4141</v>
      </c>
      <c r="R281" s="10">
        <v>0</v>
      </c>
      <c r="S281" s="10">
        <v>136743</v>
      </c>
      <c r="T281" s="10">
        <v>41000</v>
      </c>
      <c r="U281" s="10">
        <v>21.54781262098335</v>
      </c>
      <c r="V281" s="10">
        <v>18.367012411204065</v>
      </c>
      <c r="W281" s="10">
        <v>0</v>
      </c>
      <c r="X281" s="10">
        <v>18.190203277514104</v>
      </c>
      <c r="Y281" s="10">
        <v>34.674670935610102</v>
      </c>
      <c r="Z281" s="10">
        <v>13.991060864992768</v>
      </c>
      <c r="AA281" s="10">
        <v>14.815278900565884</v>
      </c>
      <c r="AB281" s="10">
        <v>28.306045266771399</v>
      </c>
      <c r="AC281" s="10">
        <v>0</v>
      </c>
      <c r="AD281" s="10">
        <v>0</v>
      </c>
      <c r="AE281" s="10">
        <v>23.001410437235545</v>
      </c>
      <c r="AF281" s="10">
        <v>38.950498423788019</v>
      </c>
      <c r="AG281" s="10">
        <v>23.913657770800626</v>
      </c>
      <c r="AH281" s="10">
        <v>30.414107323658456</v>
      </c>
      <c r="AI281" s="10">
        <v>33.540696018682006</v>
      </c>
      <c r="AJ281" s="10">
        <v>0</v>
      </c>
      <c r="AK281" s="10">
        <v>26.438541415117122</v>
      </c>
      <c r="AL281" s="10">
        <v>0</v>
      </c>
      <c r="AM281" s="10">
        <v>0</v>
      </c>
      <c r="AN281" s="10">
        <v>1</v>
      </c>
      <c r="AO281" s="10">
        <v>2</v>
      </c>
      <c r="AP281" s="10">
        <v>16</v>
      </c>
      <c r="AQ281" s="10">
        <v>8</v>
      </c>
      <c r="AR281" s="10">
        <v>2</v>
      </c>
      <c r="AS281" s="10">
        <v>1</v>
      </c>
      <c r="AT281" s="10">
        <v>6</v>
      </c>
      <c r="AU281" s="10">
        <v>1</v>
      </c>
      <c r="AV281" s="10">
        <v>0</v>
      </c>
      <c r="AW281" s="10">
        <v>1</v>
      </c>
      <c r="AX281" s="10">
        <v>5</v>
      </c>
      <c r="AY281" s="10">
        <v>0</v>
      </c>
      <c r="AZ281" s="10">
        <v>8</v>
      </c>
      <c r="BA281" s="10">
        <v>3</v>
      </c>
      <c r="BB281" s="10">
        <v>0</v>
      </c>
      <c r="BC281" s="10">
        <v>54</v>
      </c>
      <c r="BD281" s="10">
        <v>0</v>
      </c>
      <c r="BE281" s="10">
        <v>1</v>
      </c>
      <c r="BF281" s="10">
        <v>7</v>
      </c>
      <c r="BG281" s="10">
        <v>7</v>
      </c>
      <c r="BH281" s="10">
        <v>2</v>
      </c>
      <c r="BI281" s="10">
        <v>0</v>
      </c>
      <c r="BJ281" s="10">
        <v>2</v>
      </c>
      <c r="BK281" s="10">
        <v>1</v>
      </c>
      <c r="BL281" s="10">
        <v>0</v>
      </c>
      <c r="BM281" s="10">
        <v>0</v>
      </c>
      <c r="BN281" s="10">
        <v>0</v>
      </c>
      <c r="BO281" s="10">
        <v>0</v>
      </c>
      <c r="BP281" s="10">
        <v>3</v>
      </c>
      <c r="BQ281" s="10">
        <v>0</v>
      </c>
      <c r="BR281" s="10">
        <v>0</v>
      </c>
      <c r="BS281" s="10">
        <v>23</v>
      </c>
    </row>
    <row r="282" spans="1:71" x14ac:dyDescent="0.55000000000000004">
      <c r="A282" s="10">
        <v>648</v>
      </c>
      <c r="B282" s="10">
        <v>2022</v>
      </c>
      <c r="C282" s="10">
        <v>7365</v>
      </c>
      <c r="D282" s="10">
        <v>62264</v>
      </c>
      <c r="E282" s="10">
        <v>15444</v>
      </c>
      <c r="F282" s="10">
        <v>6006</v>
      </c>
      <c r="G282" s="10">
        <v>4275</v>
      </c>
      <c r="H282" s="10">
        <v>4442</v>
      </c>
      <c r="I282" s="10">
        <v>6477</v>
      </c>
      <c r="J282" s="10">
        <v>0</v>
      </c>
      <c r="K282" s="10">
        <v>0</v>
      </c>
      <c r="L282" s="10">
        <v>2205</v>
      </c>
      <c r="M282" s="10">
        <v>12673</v>
      </c>
      <c r="N282" s="10">
        <v>1085</v>
      </c>
      <c r="O282" s="10">
        <v>4778</v>
      </c>
      <c r="P282" s="10">
        <v>12413</v>
      </c>
      <c r="Q282" s="10">
        <v>2466</v>
      </c>
      <c r="R282" s="10">
        <v>5634</v>
      </c>
      <c r="S282" s="10">
        <v>112582</v>
      </c>
      <c r="T282" s="10">
        <v>34945</v>
      </c>
      <c r="U282" s="10">
        <v>17.734962661235574</v>
      </c>
      <c r="V282" s="10">
        <v>15.697401387639728</v>
      </c>
      <c r="W282" s="10">
        <v>0</v>
      </c>
      <c r="X282" s="10">
        <v>14.384421134421135</v>
      </c>
      <c r="Y282" s="10">
        <v>28.878621378621379</v>
      </c>
      <c r="Z282" s="10">
        <v>13.542222222222222</v>
      </c>
      <c r="AA282" s="10">
        <v>13.815848716794237</v>
      </c>
      <c r="AB282" s="10">
        <v>23.650764242704955</v>
      </c>
      <c r="AC282" s="10">
        <v>0</v>
      </c>
      <c r="AD282" s="10">
        <v>0</v>
      </c>
      <c r="AE282" s="10">
        <v>20.230385487528345</v>
      </c>
      <c r="AF282" s="10">
        <v>32.981377732186537</v>
      </c>
      <c r="AG282" s="10">
        <v>26.96958525345622</v>
      </c>
      <c r="AH282" s="10">
        <v>21.595437421515278</v>
      </c>
      <c r="AI282" s="10">
        <v>32.126963667123178</v>
      </c>
      <c r="AJ282" s="10">
        <v>0</v>
      </c>
      <c r="AK282" s="10">
        <v>24.511354420113545</v>
      </c>
      <c r="AL282" s="10">
        <v>16.934504792332266</v>
      </c>
      <c r="AM282" s="10">
        <v>0</v>
      </c>
      <c r="AN282" s="10">
        <v>2</v>
      </c>
      <c r="AO282" s="10">
        <v>3</v>
      </c>
      <c r="AP282" s="10">
        <v>15</v>
      </c>
      <c r="AQ282" s="10">
        <v>5</v>
      </c>
      <c r="AR282" s="10">
        <v>6</v>
      </c>
      <c r="AS282" s="10">
        <v>2</v>
      </c>
      <c r="AT282" s="10">
        <v>0</v>
      </c>
      <c r="AU282" s="10">
        <v>2</v>
      </c>
      <c r="AV282" s="10">
        <v>0</v>
      </c>
      <c r="AW282" s="10">
        <v>1</v>
      </c>
      <c r="AX282" s="10">
        <v>5</v>
      </c>
      <c r="AY282" s="10">
        <v>1</v>
      </c>
      <c r="AZ282" s="10">
        <v>3</v>
      </c>
      <c r="BA282" s="10">
        <v>2</v>
      </c>
      <c r="BB282" s="10">
        <v>3</v>
      </c>
      <c r="BC282" s="10">
        <v>50</v>
      </c>
      <c r="BD282" s="10">
        <v>2</v>
      </c>
      <c r="BE282" s="10">
        <v>0</v>
      </c>
      <c r="BF282" s="10">
        <v>11</v>
      </c>
      <c r="BG282" s="10">
        <v>1</v>
      </c>
      <c r="BH282" s="10">
        <v>1</v>
      </c>
      <c r="BI282" s="10">
        <v>1</v>
      </c>
      <c r="BJ282" s="10">
        <v>2</v>
      </c>
      <c r="BK282" s="10">
        <v>0</v>
      </c>
      <c r="BL282" s="10">
        <v>0</v>
      </c>
      <c r="BM282" s="10">
        <v>0</v>
      </c>
      <c r="BN282" s="10">
        <v>0</v>
      </c>
      <c r="BO282" s="10">
        <v>0</v>
      </c>
      <c r="BP282" s="10">
        <v>1</v>
      </c>
      <c r="BQ282" s="10">
        <v>0</v>
      </c>
      <c r="BR282" s="10">
        <v>2</v>
      </c>
      <c r="BS282" s="10">
        <v>21</v>
      </c>
    </row>
    <row r="283" spans="1:71" x14ac:dyDescent="0.55000000000000004">
      <c r="A283" s="10">
        <v>848</v>
      </c>
      <c r="B283" s="10">
        <v>2022</v>
      </c>
      <c r="C283" s="10">
        <v>6630</v>
      </c>
      <c r="D283" s="10">
        <v>62311</v>
      </c>
      <c r="E283" s="10">
        <v>17158</v>
      </c>
      <c r="F283" s="10">
        <v>14013</v>
      </c>
      <c r="G283" s="10">
        <v>6470</v>
      </c>
      <c r="H283" s="10">
        <v>1401</v>
      </c>
      <c r="I283" s="10">
        <v>5572</v>
      </c>
      <c r="J283" s="10">
        <v>144</v>
      </c>
      <c r="K283" s="10">
        <v>0</v>
      </c>
      <c r="L283" s="10">
        <v>5852</v>
      </c>
      <c r="M283" s="10">
        <v>11260</v>
      </c>
      <c r="N283" s="10">
        <v>0</v>
      </c>
      <c r="O283" s="10">
        <v>5377</v>
      </c>
      <c r="P283" s="10">
        <v>32908</v>
      </c>
      <c r="Q283" s="10">
        <v>6351</v>
      </c>
      <c r="R283" s="10">
        <v>75</v>
      </c>
      <c r="S283" s="10">
        <v>131103</v>
      </c>
      <c r="T283" s="10">
        <v>44419</v>
      </c>
      <c r="U283" s="10">
        <v>19.711312217194571</v>
      </c>
      <c r="V283" s="10">
        <v>21.592608046733321</v>
      </c>
      <c r="W283" s="10">
        <v>33.357462862532422</v>
      </c>
      <c r="X283" s="10">
        <v>22.309301783424644</v>
      </c>
      <c r="Y283" s="10">
        <v>33.902947263255548</v>
      </c>
      <c r="Z283" s="10">
        <v>15.293044822256569</v>
      </c>
      <c r="AA283" s="10">
        <v>17.885082084225555</v>
      </c>
      <c r="AB283" s="10">
        <v>30.1148600143575</v>
      </c>
      <c r="AC283" s="10">
        <v>49.986033519553075</v>
      </c>
      <c r="AD283" s="10">
        <v>0</v>
      </c>
      <c r="AE283" s="10">
        <v>23.078947368421051</v>
      </c>
      <c r="AF283" s="10">
        <v>53.341651865008885</v>
      </c>
      <c r="AG283" s="10">
        <v>0</v>
      </c>
      <c r="AH283" s="10">
        <v>26.863306676585456</v>
      </c>
      <c r="AI283" s="10">
        <v>38.770997933633161</v>
      </c>
      <c r="AJ283" s="10">
        <v>61.721305031446541</v>
      </c>
      <c r="AK283" s="10">
        <v>32.081089592190203</v>
      </c>
      <c r="AL283" s="10">
        <v>26.293333333333333</v>
      </c>
      <c r="AM283" s="10">
        <v>34.25</v>
      </c>
      <c r="AN283" s="10">
        <v>3</v>
      </c>
      <c r="AO283" s="10">
        <v>7</v>
      </c>
      <c r="AP283" s="10">
        <v>22</v>
      </c>
      <c r="AQ283" s="10">
        <v>12</v>
      </c>
      <c r="AR283" s="10">
        <v>3</v>
      </c>
      <c r="AS283" s="10">
        <v>1</v>
      </c>
      <c r="AT283" s="10">
        <v>0</v>
      </c>
      <c r="AU283" s="10">
        <v>3</v>
      </c>
      <c r="AV283" s="10">
        <v>0</v>
      </c>
      <c r="AW283" s="10">
        <v>3</v>
      </c>
      <c r="AX283" s="10">
        <v>4</v>
      </c>
      <c r="AY283" s="10">
        <v>0</v>
      </c>
      <c r="AZ283" s="10">
        <v>10</v>
      </c>
      <c r="BA283" s="10">
        <v>2</v>
      </c>
      <c r="BB283" s="10">
        <v>2</v>
      </c>
      <c r="BC283" s="10">
        <v>72</v>
      </c>
      <c r="BD283" s="10">
        <v>1</v>
      </c>
      <c r="BE283" s="10">
        <v>8</v>
      </c>
      <c r="BF283" s="10">
        <v>7</v>
      </c>
      <c r="BG283" s="10">
        <v>20</v>
      </c>
      <c r="BH283" s="10">
        <v>0</v>
      </c>
      <c r="BI283" s="10">
        <v>0</v>
      </c>
      <c r="BJ283" s="10">
        <v>2</v>
      </c>
      <c r="BK283" s="10">
        <v>1</v>
      </c>
      <c r="BL283" s="10">
        <v>0</v>
      </c>
      <c r="BM283" s="10">
        <v>0</v>
      </c>
      <c r="BN283" s="10">
        <v>0</v>
      </c>
      <c r="BO283" s="10">
        <v>0</v>
      </c>
      <c r="BP283" s="10">
        <v>2</v>
      </c>
      <c r="BQ283" s="10">
        <v>0</v>
      </c>
      <c r="BR283" s="10">
        <v>0</v>
      </c>
      <c r="BS283" s="10">
        <v>41</v>
      </c>
    </row>
    <row r="284" spans="1:71" x14ac:dyDescent="0.55000000000000004">
      <c r="A284" s="10">
        <v>861</v>
      </c>
      <c r="B284" s="10">
        <v>2022</v>
      </c>
      <c r="C284" s="10">
        <v>7531</v>
      </c>
      <c r="D284" s="10">
        <v>62535</v>
      </c>
      <c r="E284" s="10">
        <v>28883</v>
      </c>
      <c r="F284" s="10">
        <v>10983</v>
      </c>
      <c r="G284" s="10">
        <v>9648</v>
      </c>
      <c r="H284" s="10">
        <v>6704</v>
      </c>
      <c r="I284" s="10">
        <v>26439</v>
      </c>
      <c r="J284" s="10">
        <v>0</v>
      </c>
      <c r="K284" s="10">
        <v>0</v>
      </c>
      <c r="L284" s="10">
        <v>8523</v>
      </c>
      <c r="M284" s="10">
        <v>10833</v>
      </c>
      <c r="N284" s="10">
        <v>10538</v>
      </c>
      <c r="O284" s="10">
        <v>6289</v>
      </c>
      <c r="P284" s="10">
        <v>23877</v>
      </c>
      <c r="Q284" s="10">
        <v>6437</v>
      </c>
      <c r="R284" s="10">
        <v>14418</v>
      </c>
      <c r="S284" s="10">
        <v>171131</v>
      </c>
      <c r="T284" s="10">
        <v>62507</v>
      </c>
      <c r="U284" s="10">
        <v>22.551586774664717</v>
      </c>
      <c r="V284" s="10">
        <v>24.472871192132406</v>
      </c>
      <c r="W284" s="10">
        <v>33.721298801700812</v>
      </c>
      <c r="X284" s="10">
        <v>21.225876813350414</v>
      </c>
      <c r="Y284" s="10">
        <v>30.032595829918964</v>
      </c>
      <c r="Z284" s="10">
        <v>16.521558872305139</v>
      </c>
      <c r="AA284" s="10">
        <v>16.645137231503579</v>
      </c>
      <c r="AB284" s="10">
        <v>35.495442338968942</v>
      </c>
      <c r="AC284" s="10">
        <v>49.896370023419209</v>
      </c>
      <c r="AD284" s="10">
        <v>0</v>
      </c>
      <c r="AE284" s="10">
        <v>24.72580077437522</v>
      </c>
      <c r="AF284" s="10">
        <v>43.645804486291887</v>
      </c>
      <c r="AG284" s="10">
        <v>24.265420383374455</v>
      </c>
      <c r="AH284" s="10">
        <v>25.26506598823342</v>
      </c>
      <c r="AI284" s="10">
        <v>40.864178916949371</v>
      </c>
      <c r="AJ284" s="10">
        <v>62.797167425392011</v>
      </c>
      <c r="AK284" s="10">
        <v>34.258039459375482</v>
      </c>
      <c r="AL284" s="10">
        <v>24.960535441808847</v>
      </c>
      <c r="AM284" s="10">
        <v>0</v>
      </c>
      <c r="AN284" s="10">
        <v>4</v>
      </c>
      <c r="AO284" s="10">
        <v>4</v>
      </c>
      <c r="AP284" s="10">
        <v>29</v>
      </c>
      <c r="AQ284" s="10">
        <v>10</v>
      </c>
      <c r="AR284" s="10">
        <v>4</v>
      </c>
      <c r="AS284" s="10">
        <v>2</v>
      </c>
      <c r="AT284" s="10">
        <v>10</v>
      </c>
      <c r="AU284" s="10">
        <v>2</v>
      </c>
      <c r="AV284" s="10">
        <v>0</v>
      </c>
      <c r="AW284" s="10">
        <v>3</v>
      </c>
      <c r="AX284" s="10">
        <v>5</v>
      </c>
      <c r="AY284" s="10">
        <v>6</v>
      </c>
      <c r="AZ284" s="10">
        <v>12</v>
      </c>
      <c r="BA284" s="10">
        <v>3</v>
      </c>
      <c r="BB284" s="10">
        <v>6</v>
      </c>
      <c r="BC284" s="10">
        <v>100</v>
      </c>
      <c r="BD284" s="10">
        <v>0</v>
      </c>
      <c r="BE284" s="10">
        <v>3</v>
      </c>
      <c r="BF284" s="10">
        <v>12</v>
      </c>
      <c r="BG284" s="10">
        <v>7</v>
      </c>
      <c r="BH284" s="10">
        <v>1</v>
      </c>
      <c r="BI284" s="10">
        <v>1</v>
      </c>
      <c r="BJ284" s="10">
        <v>5</v>
      </c>
      <c r="BK284" s="10">
        <v>1</v>
      </c>
      <c r="BL284" s="10">
        <v>0</v>
      </c>
      <c r="BM284" s="10">
        <v>0</v>
      </c>
      <c r="BN284" s="10">
        <v>0</v>
      </c>
      <c r="BO284" s="10">
        <v>11</v>
      </c>
      <c r="BP284" s="10">
        <v>4</v>
      </c>
      <c r="BQ284" s="10">
        <v>0</v>
      </c>
      <c r="BR284" s="10">
        <v>0</v>
      </c>
      <c r="BS284" s="10">
        <v>45</v>
      </c>
    </row>
    <row r="285" spans="1:71" x14ac:dyDescent="0.55000000000000004">
      <c r="A285" s="10">
        <v>527</v>
      </c>
      <c r="B285" s="10">
        <v>2022</v>
      </c>
      <c r="C285" s="10">
        <v>19020</v>
      </c>
      <c r="D285" s="10">
        <v>63507</v>
      </c>
      <c r="E285" s="10">
        <v>42263</v>
      </c>
      <c r="F285" s="10">
        <v>14037</v>
      </c>
      <c r="G285" s="10">
        <v>24422</v>
      </c>
      <c r="H285" s="10">
        <v>8667</v>
      </c>
      <c r="I285" s="10">
        <v>18122</v>
      </c>
      <c r="J285" s="10">
        <v>0</v>
      </c>
      <c r="K285" s="10">
        <v>0</v>
      </c>
      <c r="L285" s="10">
        <v>13715</v>
      </c>
      <c r="M285" s="10">
        <v>20244</v>
      </c>
      <c r="N285" s="10">
        <v>6057</v>
      </c>
      <c r="O285" s="10">
        <v>7332</v>
      </c>
      <c r="P285" s="10">
        <v>38182</v>
      </c>
      <c r="Q285" s="10">
        <v>10434</v>
      </c>
      <c r="R285" s="10">
        <v>18016</v>
      </c>
      <c r="S285" s="10">
        <v>207297</v>
      </c>
      <c r="T285" s="10">
        <v>96721</v>
      </c>
      <c r="U285" s="10">
        <v>23.637118822292322</v>
      </c>
      <c r="V285" s="10">
        <v>26.748626135701578</v>
      </c>
      <c r="W285" s="10">
        <v>36.853385332033362</v>
      </c>
      <c r="X285" s="10">
        <v>22.0516054231834</v>
      </c>
      <c r="Y285" s="10">
        <v>36.258174823680271</v>
      </c>
      <c r="Z285" s="10">
        <v>22.069895995413969</v>
      </c>
      <c r="AA285" s="10">
        <v>22.503634475597092</v>
      </c>
      <c r="AB285" s="10">
        <v>37.468932788875399</v>
      </c>
      <c r="AC285" s="10">
        <v>53.535053427156633</v>
      </c>
      <c r="AD285" s="10">
        <v>0</v>
      </c>
      <c r="AE285" s="10">
        <v>23.05504921618666</v>
      </c>
      <c r="AF285" s="10">
        <v>49.613811499703615</v>
      </c>
      <c r="AG285" s="10">
        <v>44.02459963678389</v>
      </c>
      <c r="AH285" s="10">
        <v>25.570785597381342</v>
      </c>
      <c r="AI285" s="10">
        <v>52.486276255827356</v>
      </c>
      <c r="AJ285" s="10">
        <v>65.109710703323969</v>
      </c>
      <c r="AK285" s="10">
        <v>30.99884991374353</v>
      </c>
      <c r="AL285" s="10">
        <v>28.261323268206038</v>
      </c>
      <c r="AM285" s="10">
        <v>58.461233729485002</v>
      </c>
      <c r="AN285" s="10">
        <v>7</v>
      </c>
      <c r="AO285" s="10">
        <v>2</v>
      </c>
      <c r="AP285" s="10">
        <v>23</v>
      </c>
      <c r="AQ285" s="10">
        <v>18</v>
      </c>
      <c r="AR285" s="10">
        <v>9</v>
      </c>
      <c r="AS285" s="10">
        <v>2</v>
      </c>
      <c r="AT285" s="10">
        <v>8</v>
      </c>
      <c r="AU285" s="10">
        <v>7</v>
      </c>
      <c r="AV285" s="10">
        <v>0</v>
      </c>
      <c r="AW285" s="10">
        <v>4</v>
      </c>
      <c r="AX285" s="10">
        <v>6</v>
      </c>
      <c r="AY285" s="10">
        <v>3</v>
      </c>
      <c r="AZ285" s="10">
        <v>9</v>
      </c>
      <c r="BA285" s="10">
        <v>4</v>
      </c>
      <c r="BB285" s="10">
        <v>4</v>
      </c>
      <c r="BC285" s="10">
        <v>106</v>
      </c>
      <c r="BD285" s="10">
        <v>1</v>
      </c>
      <c r="BE285" s="10">
        <v>0</v>
      </c>
      <c r="BF285" s="10">
        <v>24</v>
      </c>
      <c r="BG285" s="10">
        <v>24</v>
      </c>
      <c r="BH285" s="10">
        <v>4</v>
      </c>
      <c r="BI285" s="10">
        <v>3</v>
      </c>
      <c r="BJ285" s="10">
        <v>2</v>
      </c>
      <c r="BK285" s="10">
        <v>1</v>
      </c>
      <c r="BL285" s="10">
        <v>0</v>
      </c>
      <c r="BM285" s="10">
        <v>1</v>
      </c>
      <c r="BN285" s="10">
        <v>0</v>
      </c>
      <c r="BO285" s="10">
        <v>0</v>
      </c>
      <c r="BP285" s="10">
        <v>2</v>
      </c>
      <c r="BQ285" s="10">
        <v>1</v>
      </c>
      <c r="BR285" s="10">
        <v>4</v>
      </c>
      <c r="BS285" s="10">
        <v>67</v>
      </c>
    </row>
    <row r="286" spans="1:71" x14ac:dyDescent="0.55000000000000004">
      <c r="A286" s="10">
        <v>824</v>
      </c>
      <c r="B286" s="10">
        <v>2022</v>
      </c>
      <c r="C286" s="10">
        <v>10842</v>
      </c>
      <c r="D286" s="10">
        <v>64048</v>
      </c>
      <c r="E286" s="10">
        <v>21175</v>
      </c>
      <c r="F286" s="10">
        <v>8015</v>
      </c>
      <c r="G286" s="10">
        <v>9472</v>
      </c>
      <c r="H286" s="10">
        <v>3598</v>
      </c>
      <c r="I286" s="10">
        <v>27270</v>
      </c>
      <c r="J286" s="10">
        <v>0</v>
      </c>
      <c r="K286" s="10">
        <v>0</v>
      </c>
      <c r="L286" s="10">
        <v>0</v>
      </c>
      <c r="M286" s="10">
        <v>2080</v>
      </c>
      <c r="N286" s="10">
        <v>5282</v>
      </c>
      <c r="O286" s="10">
        <v>8042</v>
      </c>
      <c r="P286" s="10">
        <v>42362</v>
      </c>
      <c r="Q286" s="10">
        <v>9549</v>
      </c>
      <c r="R286" s="10">
        <v>5474</v>
      </c>
      <c r="S286" s="10">
        <v>166907</v>
      </c>
      <c r="T286" s="10">
        <v>50302</v>
      </c>
      <c r="U286" s="10">
        <v>18.862571481276518</v>
      </c>
      <c r="V286" s="10">
        <v>18.754012615538347</v>
      </c>
      <c r="W286" s="10">
        <v>0</v>
      </c>
      <c r="X286" s="10">
        <v>17.601180637544275</v>
      </c>
      <c r="Y286" s="10">
        <v>58.879101684341862</v>
      </c>
      <c r="Z286" s="10">
        <v>17.623733108108109</v>
      </c>
      <c r="AA286" s="10">
        <v>19.223457476375764</v>
      </c>
      <c r="AB286" s="10">
        <v>22.568096809680966</v>
      </c>
      <c r="AC286" s="10">
        <v>0</v>
      </c>
      <c r="AD286" s="10">
        <v>0</v>
      </c>
      <c r="AE286" s="10">
        <v>0</v>
      </c>
      <c r="AF286" s="10">
        <v>55.162019230769225</v>
      </c>
      <c r="AG286" s="10">
        <v>24.706929193487316</v>
      </c>
      <c r="AH286" s="10">
        <v>20.867072867445909</v>
      </c>
      <c r="AI286" s="10">
        <v>30.429677541192579</v>
      </c>
      <c r="AJ286" s="10">
        <v>0</v>
      </c>
      <c r="AK286" s="10">
        <v>35.666771389674309</v>
      </c>
      <c r="AL286" s="10">
        <v>21.774388016075996</v>
      </c>
      <c r="AM286" s="10">
        <v>0</v>
      </c>
      <c r="AN286" s="10">
        <v>5</v>
      </c>
      <c r="AO286" s="10">
        <v>2</v>
      </c>
      <c r="AP286" s="10">
        <v>27</v>
      </c>
      <c r="AQ286" s="10">
        <v>12</v>
      </c>
      <c r="AR286" s="10">
        <v>7</v>
      </c>
      <c r="AS286" s="10">
        <v>2</v>
      </c>
      <c r="AT286" s="10">
        <v>7</v>
      </c>
      <c r="AU286" s="10">
        <v>5</v>
      </c>
      <c r="AV286" s="10">
        <v>0</v>
      </c>
      <c r="AW286" s="10">
        <v>0</v>
      </c>
      <c r="AX286" s="10">
        <v>2</v>
      </c>
      <c r="AY286" s="10">
        <v>1</v>
      </c>
      <c r="AZ286" s="10">
        <v>13</v>
      </c>
      <c r="BA286" s="10">
        <v>6</v>
      </c>
      <c r="BB286" s="10">
        <v>0</v>
      </c>
      <c r="BC286" s="10">
        <v>89</v>
      </c>
      <c r="BD286" s="10">
        <v>1</v>
      </c>
      <c r="BE286" s="10">
        <v>1</v>
      </c>
      <c r="BF286" s="10">
        <v>29</v>
      </c>
      <c r="BG286" s="10">
        <v>14</v>
      </c>
      <c r="BH286" s="10">
        <v>3</v>
      </c>
      <c r="BI286" s="10">
        <v>0</v>
      </c>
      <c r="BJ286" s="10">
        <v>5</v>
      </c>
      <c r="BK286" s="10">
        <v>0</v>
      </c>
      <c r="BL286" s="10">
        <v>0</v>
      </c>
      <c r="BM286" s="10">
        <v>0</v>
      </c>
      <c r="BN286" s="10">
        <v>0</v>
      </c>
      <c r="BO286" s="10">
        <v>3</v>
      </c>
      <c r="BP286" s="10">
        <v>7</v>
      </c>
      <c r="BQ286" s="10">
        <v>1</v>
      </c>
      <c r="BR286" s="10">
        <v>0</v>
      </c>
      <c r="BS286" s="10">
        <v>64</v>
      </c>
    </row>
    <row r="287" spans="1:71" x14ac:dyDescent="0.55000000000000004">
      <c r="A287" s="10">
        <v>193</v>
      </c>
      <c r="B287" s="10">
        <v>2022</v>
      </c>
      <c r="C287" s="10">
        <v>9555</v>
      </c>
      <c r="D287" s="10">
        <v>64536</v>
      </c>
      <c r="E287" s="10">
        <v>20478</v>
      </c>
      <c r="F287" s="10">
        <v>6744</v>
      </c>
      <c r="G287" s="10">
        <v>10414</v>
      </c>
      <c r="H287" s="10">
        <v>6412</v>
      </c>
      <c r="I287" s="10">
        <v>16659</v>
      </c>
      <c r="J287" s="10">
        <v>0</v>
      </c>
      <c r="K287" s="10">
        <v>0</v>
      </c>
      <c r="L287" s="10">
        <v>6261</v>
      </c>
      <c r="M287" s="10">
        <v>10207</v>
      </c>
      <c r="N287" s="10">
        <v>508</v>
      </c>
      <c r="O287" s="10">
        <v>4747</v>
      </c>
      <c r="P287" s="10">
        <v>27637</v>
      </c>
      <c r="Q287" s="10">
        <v>3699</v>
      </c>
      <c r="R287" s="10">
        <v>4156</v>
      </c>
      <c r="S287" s="10">
        <v>143218</v>
      </c>
      <c r="T287" s="10">
        <v>48795</v>
      </c>
      <c r="U287" s="10">
        <v>18.467399267399266</v>
      </c>
      <c r="V287" s="10">
        <v>26.314119251270608</v>
      </c>
      <c r="W287" s="10">
        <v>35.989747095010252</v>
      </c>
      <c r="X287" s="10">
        <v>20.046586580720771</v>
      </c>
      <c r="Y287" s="10">
        <v>31.453143534994069</v>
      </c>
      <c r="Z287" s="10">
        <v>19.344536201267523</v>
      </c>
      <c r="AA287" s="10">
        <v>14.269650655021834</v>
      </c>
      <c r="AB287" s="10">
        <v>33.587910438801849</v>
      </c>
      <c r="AC287" s="10">
        <v>52.097264437689965</v>
      </c>
      <c r="AD287" s="10">
        <v>0</v>
      </c>
      <c r="AE287" s="10">
        <v>22.088643986583612</v>
      </c>
      <c r="AF287" s="10">
        <v>40.834721269716859</v>
      </c>
      <c r="AG287" s="10">
        <v>18.035433070866141</v>
      </c>
      <c r="AH287" s="10">
        <v>21.67663787655361</v>
      </c>
      <c r="AI287" s="10">
        <v>43.541809892535369</v>
      </c>
      <c r="AJ287" s="10">
        <v>0</v>
      </c>
      <c r="AK287" s="10">
        <v>25.751824817518248</v>
      </c>
      <c r="AL287" s="10">
        <v>27.217757459095285</v>
      </c>
      <c r="AM287" s="10">
        <v>35.833333333333336</v>
      </c>
      <c r="AN287" s="10">
        <v>3</v>
      </c>
      <c r="AO287" s="10">
        <v>3</v>
      </c>
      <c r="AP287" s="10">
        <v>20</v>
      </c>
      <c r="AQ287" s="10">
        <v>8</v>
      </c>
      <c r="AR287" s="10">
        <v>7</v>
      </c>
      <c r="AS287" s="10">
        <v>2</v>
      </c>
      <c r="AT287" s="10">
        <v>7</v>
      </c>
      <c r="AU287" s="10">
        <v>2</v>
      </c>
      <c r="AV287" s="10">
        <v>0</v>
      </c>
      <c r="AW287" s="10">
        <v>3</v>
      </c>
      <c r="AX287" s="10">
        <v>4</v>
      </c>
      <c r="AY287" s="10">
        <v>0</v>
      </c>
      <c r="AZ287" s="10">
        <v>10</v>
      </c>
      <c r="BA287" s="10">
        <v>2</v>
      </c>
      <c r="BB287" s="10">
        <v>0</v>
      </c>
      <c r="BC287" s="10">
        <v>71</v>
      </c>
      <c r="BD287" s="10">
        <v>3</v>
      </c>
      <c r="BE287" s="10">
        <v>0</v>
      </c>
      <c r="BF287" s="10">
        <v>31</v>
      </c>
      <c r="BG287" s="10">
        <v>9</v>
      </c>
      <c r="BH287" s="10">
        <v>1</v>
      </c>
      <c r="BI287" s="10">
        <v>2</v>
      </c>
      <c r="BJ287" s="10">
        <v>1</v>
      </c>
      <c r="BK287" s="10">
        <v>1</v>
      </c>
      <c r="BL287" s="10">
        <v>0</v>
      </c>
      <c r="BM287" s="10">
        <v>2</v>
      </c>
      <c r="BN287" s="10">
        <v>0</v>
      </c>
      <c r="BO287" s="10">
        <v>0</v>
      </c>
      <c r="BP287" s="10">
        <v>7</v>
      </c>
      <c r="BQ287" s="10">
        <v>0</v>
      </c>
      <c r="BR287" s="10">
        <v>0</v>
      </c>
      <c r="BS287" s="10">
        <v>57</v>
      </c>
    </row>
    <row r="288" spans="1:71" x14ac:dyDescent="0.55000000000000004">
      <c r="A288" s="10">
        <v>729</v>
      </c>
      <c r="B288" s="10">
        <v>2022</v>
      </c>
      <c r="C288" s="10">
        <v>11841</v>
      </c>
      <c r="D288" s="10">
        <v>65467</v>
      </c>
      <c r="E288" s="10">
        <v>28364</v>
      </c>
      <c r="F288" s="10">
        <v>8193</v>
      </c>
      <c r="G288" s="10">
        <v>6261</v>
      </c>
      <c r="H288" s="10">
        <v>3176</v>
      </c>
      <c r="I288" s="10">
        <v>21184</v>
      </c>
      <c r="J288" s="10">
        <v>0</v>
      </c>
      <c r="K288" s="10">
        <v>0</v>
      </c>
      <c r="L288" s="10">
        <v>3983</v>
      </c>
      <c r="M288" s="10">
        <v>8161</v>
      </c>
      <c r="N288" s="10">
        <v>4463</v>
      </c>
      <c r="O288" s="10">
        <v>4452</v>
      </c>
      <c r="P288" s="10">
        <v>11649</v>
      </c>
      <c r="Q288" s="10">
        <v>4202</v>
      </c>
      <c r="R288" s="10">
        <v>980</v>
      </c>
      <c r="S288" s="10">
        <v>131930</v>
      </c>
      <c r="T288" s="10">
        <v>50446</v>
      </c>
      <c r="U288" s="10">
        <v>17.893843425386368</v>
      </c>
      <c r="V288" s="10">
        <v>22.510180701727588</v>
      </c>
      <c r="W288" s="10">
        <v>29.202398800599699</v>
      </c>
      <c r="X288" s="10">
        <v>13.188619376674657</v>
      </c>
      <c r="Y288" s="10">
        <v>34.111192481386553</v>
      </c>
      <c r="Z288" s="10">
        <v>17.32598626417505</v>
      </c>
      <c r="AA288" s="10">
        <v>17.052267002518892</v>
      </c>
      <c r="AB288" s="10">
        <v>33.341106495468274</v>
      </c>
      <c r="AC288" s="10">
        <v>49.824175824175825</v>
      </c>
      <c r="AD288" s="10">
        <v>0</v>
      </c>
      <c r="AE288" s="10">
        <v>21.193070549836808</v>
      </c>
      <c r="AF288" s="10">
        <v>40.150839357921818</v>
      </c>
      <c r="AG288" s="10">
        <v>30.470759578758681</v>
      </c>
      <c r="AH288" s="10">
        <v>21.836253369272235</v>
      </c>
      <c r="AI288" s="10">
        <v>38.205940424070732</v>
      </c>
      <c r="AJ288" s="10">
        <v>58.832713754646839</v>
      </c>
      <c r="AK288" s="10">
        <v>27.701332698714896</v>
      </c>
      <c r="AL288" s="10">
        <v>28.060204081632651</v>
      </c>
      <c r="AM288" s="10">
        <v>0</v>
      </c>
      <c r="AN288" s="10">
        <v>3</v>
      </c>
      <c r="AO288" s="10">
        <v>4</v>
      </c>
      <c r="AP288" s="10">
        <v>30</v>
      </c>
      <c r="AQ288" s="10">
        <v>7</v>
      </c>
      <c r="AR288" s="10">
        <v>4</v>
      </c>
      <c r="AS288" s="10">
        <v>1</v>
      </c>
      <c r="AT288" s="10">
        <v>9</v>
      </c>
      <c r="AU288" s="10">
        <v>2</v>
      </c>
      <c r="AV288" s="10">
        <v>0</v>
      </c>
      <c r="AW288" s="10">
        <v>2</v>
      </c>
      <c r="AX288" s="10">
        <v>4</v>
      </c>
      <c r="AY288" s="10">
        <v>2</v>
      </c>
      <c r="AZ288" s="10">
        <v>7</v>
      </c>
      <c r="BA288" s="10">
        <v>2</v>
      </c>
      <c r="BB288" s="10">
        <v>0</v>
      </c>
      <c r="BC288" s="10">
        <v>77</v>
      </c>
      <c r="BD288" s="10">
        <v>9</v>
      </c>
      <c r="BE288" s="10">
        <v>0</v>
      </c>
      <c r="BF288" s="10">
        <v>12</v>
      </c>
      <c r="BG288" s="10">
        <v>20</v>
      </c>
      <c r="BH288" s="10">
        <v>1</v>
      </c>
      <c r="BI288" s="10">
        <v>0</v>
      </c>
      <c r="BJ288" s="10">
        <v>1</v>
      </c>
      <c r="BK288" s="10">
        <v>1</v>
      </c>
      <c r="BL288" s="10">
        <v>0</v>
      </c>
      <c r="BM288" s="10">
        <v>0</v>
      </c>
      <c r="BN288" s="10">
        <v>0</v>
      </c>
      <c r="BO288" s="10">
        <v>0</v>
      </c>
      <c r="BP288" s="10">
        <v>2</v>
      </c>
      <c r="BQ288" s="10">
        <v>0</v>
      </c>
      <c r="BR288" s="10">
        <v>0</v>
      </c>
      <c r="BS288" s="10">
        <v>46</v>
      </c>
    </row>
    <row r="289" spans="1:71" x14ac:dyDescent="0.55000000000000004">
      <c r="A289" s="10">
        <v>463</v>
      </c>
      <c r="B289" s="10">
        <v>2022</v>
      </c>
      <c r="C289" s="10">
        <v>11490</v>
      </c>
      <c r="D289" s="10">
        <v>66194</v>
      </c>
      <c r="E289" s="10">
        <v>37086</v>
      </c>
      <c r="F289" s="10">
        <v>12415</v>
      </c>
      <c r="G289" s="10">
        <v>10535</v>
      </c>
      <c r="H289" s="10">
        <v>5655</v>
      </c>
      <c r="I289" s="10">
        <v>29811</v>
      </c>
      <c r="J289" s="10">
        <v>309</v>
      </c>
      <c r="K289" s="10">
        <v>0</v>
      </c>
      <c r="L289" s="10">
        <v>8361</v>
      </c>
      <c r="M289" s="10">
        <v>16287</v>
      </c>
      <c r="N289" s="10">
        <v>1688</v>
      </c>
      <c r="O289" s="10">
        <v>7435</v>
      </c>
      <c r="P289" s="10">
        <v>35326</v>
      </c>
      <c r="Q289" s="10">
        <v>9122</v>
      </c>
      <c r="R289" s="10">
        <v>5489</v>
      </c>
      <c r="S289" s="10">
        <v>184077</v>
      </c>
      <c r="T289" s="10">
        <v>73126</v>
      </c>
      <c r="U289" s="10">
        <v>22.788076588337685</v>
      </c>
      <c r="V289" s="10">
        <v>22.877103664984741</v>
      </c>
      <c r="W289" s="10">
        <v>33.577043790165895</v>
      </c>
      <c r="X289" s="10">
        <v>18.99358248395621</v>
      </c>
      <c r="Y289" s="10">
        <v>28.677003624647604</v>
      </c>
      <c r="Z289" s="10">
        <v>21.439962031324157</v>
      </c>
      <c r="AA289" s="10">
        <v>21.384084880636603</v>
      </c>
      <c r="AB289" s="10">
        <v>33.837308376102776</v>
      </c>
      <c r="AC289" s="10">
        <v>49.788715486194484</v>
      </c>
      <c r="AD289" s="10">
        <v>0</v>
      </c>
      <c r="AE289" s="10">
        <v>20.379380456883148</v>
      </c>
      <c r="AF289" s="10">
        <v>40.042180880456804</v>
      </c>
      <c r="AG289" s="10">
        <v>34.909360189573462</v>
      </c>
      <c r="AH289" s="10">
        <v>23.170948217888366</v>
      </c>
      <c r="AI289" s="10">
        <v>38.897186208458358</v>
      </c>
      <c r="AJ289" s="10">
        <v>62.374377840294308</v>
      </c>
      <c r="AK289" s="10">
        <v>27.079697434773074</v>
      </c>
      <c r="AL289" s="10">
        <v>23.796866460193112</v>
      </c>
      <c r="AM289" s="10">
        <v>49.75</v>
      </c>
      <c r="AN289" s="10">
        <v>5</v>
      </c>
      <c r="AO289" s="10">
        <v>5</v>
      </c>
      <c r="AP289" s="10">
        <v>19</v>
      </c>
      <c r="AQ289" s="10">
        <v>15</v>
      </c>
      <c r="AR289" s="10">
        <v>5</v>
      </c>
      <c r="AS289" s="10">
        <v>3</v>
      </c>
      <c r="AT289" s="10">
        <v>13</v>
      </c>
      <c r="AU289" s="10">
        <v>5</v>
      </c>
      <c r="AV289" s="10">
        <v>0</v>
      </c>
      <c r="AW289" s="10">
        <v>3</v>
      </c>
      <c r="AX289" s="10">
        <v>7</v>
      </c>
      <c r="AY289" s="10">
        <v>1</v>
      </c>
      <c r="AZ289" s="10">
        <v>14</v>
      </c>
      <c r="BA289" s="10">
        <v>3</v>
      </c>
      <c r="BB289" s="10">
        <v>0</v>
      </c>
      <c r="BC289" s="10">
        <v>98</v>
      </c>
      <c r="BD289" s="10">
        <v>0</v>
      </c>
      <c r="BE289" s="10">
        <v>2</v>
      </c>
      <c r="BF289" s="10">
        <v>13</v>
      </c>
      <c r="BG289" s="10">
        <v>19</v>
      </c>
      <c r="BH289" s="10">
        <v>2</v>
      </c>
      <c r="BI289" s="10">
        <v>0</v>
      </c>
      <c r="BJ289" s="10">
        <v>3</v>
      </c>
      <c r="BK289" s="10">
        <v>0</v>
      </c>
      <c r="BL289" s="10">
        <v>0</v>
      </c>
      <c r="BM289" s="10">
        <v>1</v>
      </c>
      <c r="BN289" s="10">
        <v>0</v>
      </c>
      <c r="BO289" s="10">
        <v>0</v>
      </c>
      <c r="BP289" s="10">
        <v>4</v>
      </c>
      <c r="BQ289" s="10">
        <v>0</v>
      </c>
      <c r="BR289" s="10">
        <v>0</v>
      </c>
      <c r="BS289" s="10">
        <v>44</v>
      </c>
    </row>
    <row r="290" spans="1:71" x14ac:dyDescent="0.55000000000000004">
      <c r="A290" s="10">
        <v>926</v>
      </c>
      <c r="B290" s="10">
        <v>2022</v>
      </c>
      <c r="C290" s="10">
        <v>8337</v>
      </c>
      <c r="D290" s="10">
        <v>66382</v>
      </c>
      <c r="E290" s="10">
        <v>17758</v>
      </c>
      <c r="F290" s="10">
        <v>5351</v>
      </c>
      <c r="G290" s="10">
        <v>21867</v>
      </c>
      <c r="H290" s="10">
        <v>954</v>
      </c>
      <c r="I290" s="10">
        <v>21162</v>
      </c>
      <c r="J290" s="10">
        <v>0</v>
      </c>
      <c r="K290" s="10">
        <v>0</v>
      </c>
      <c r="L290" s="10">
        <v>2436</v>
      </c>
      <c r="M290" s="10">
        <v>9077</v>
      </c>
      <c r="N290" s="10">
        <v>0</v>
      </c>
      <c r="O290" s="10">
        <v>3067</v>
      </c>
      <c r="P290" s="10">
        <v>14892</v>
      </c>
      <c r="Q290" s="10">
        <v>2705</v>
      </c>
      <c r="R290" s="10">
        <v>0</v>
      </c>
      <c r="S290" s="10">
        <v>124991</v>
      </c>
      <c r="T290" s="10">
        <v>48997</v>
      </c>
      <c r="U290" s="10">
        <v>23.750149934029025</v>
      </c>
      <c r="V290" s="10">
        <v>21.712271398873185</v>
      </c>
      <c r="W290" s="10">
        <v>34.003362395902563</v>
      </c>
      <c r="X290" s="10">
        <v>21.921894357472688</v>
      </c>
      <c r="Y290" s="10">
        <v>41.18090076621192</v>
      </c>
      <c r="Z290" s="10">
        <v>17.169250468742852</v>
      </c>
      <c r="AA290" s="10">
        <v>74.355345911949684</v>
      </c>
      <c r="AB290" s="10">
        <v>31.927795104432473</v>
      </c>
      <c r="AC290" s="10">
        <v>50.653073739077108</v>
      </c>
      <c r="AD290" s="10">
        <v>0</v>
      </c>
      <c r="AE290" s="10">
        <v>29.845648604269293</v>
      </c>
      <c r="AF290" s="10">
        <v>43.106312658367301</v>
      </c>
      <c r="AG290" s="10">
        <v>0</v>
      </c>
      <c r="AH290" s="10">
        <v>28.331920443430061</v>
      </c>
      <c r="AI290" s="10">
        <v>38.861603545527799</v>
      </c>
      <c r="AJ290" s="10">
        <v>62.62932586517303</v>
      </c>
      <c r="AK290" s="10">
        <v>28.203327171903879</v>
      </c>
      <c r="AL290" s="10">
        <v>0</v>
      </c>
      <c r="AM290" s="10">
        <v>37.385542168674696</v>
      </c>
      <c r="AN290" s="10">
        <v>4</v>
      </c>
      <c r="AO290" s="10">
        <v>2</v>
      </c>
      <c r="AP290" s="10">
        <v>12</v>
      </c>
      <c r="AQ290" s="10">
        <v>8</v>
      </c>
      <c r="AR290" s="10">
        <v>8</v>
      </c>
      <c r="AS290" s="10">
        <v>2</v>
      </c>
      <c r="AT290" s="10">
        <v>5</v>
      </c>
      <c r="AU290" s="10">
        <v>1</v>
      </c>
      <c r="AV290" s="10">
        <v>0</v>
      </c>
      <c r="AW290" s="10">
        <v>2</v>
      </c>
      <c r="AX290" s="10">
        <v>4</v>
      </c>
      <c r="AY290" s="10">
        <v>0</v>
      </c>
      <c r="AZ290" s="10">
        <v>4</v>
      </c>
      <c r="BA290" s="10">
        <v>1</v>
      </c>
      <c r="BB290" s="10">
        <v>0</v>
      </c>
      <c r="BC290" s="10">
        <v>53</v>
      </c>
      <c r="BD290" s="10">
        <v>0</v>
      </c>
      <c r="BE290" s="10">
        <v>0</v>
      </c>
      <c r="BF290" s="10">
        <v>22</v>
      </c>
      <c r="BG290" s="10">
        <v>1</v>
      </c>
      <c r="BH290" s="10">
        <v>3</v>
      </c>
      <c r="BI290" s="10">
        <v>0</v>
      </c>
      <c r="BJ290" s="10">
        <v>7</v>
      </c>
      <c r="BK290" s="10">
        <v>1</v>
      </c>
      <c r="BL290" s="10">
        <v>0</v>
      </c>
      <c r="BM290" s="10">
        <v>0</v>
      </c>
      <c r="BN290" s="10">
        <v>0</v>
      </c>
      <c r="BO290" s="10">
        <v>0</v>
      </c>
      <c r="BP290" s="10">
        <v>0</v>
      </c>
      <c r="BQ290" s="10">
        <v>0</v>
      </c>
      <c r="BR290" s="10">
        <v>0</v>
      </c>
      <c r="BS290" s="10">
        <v>34</v>
      </c>
    </row>
    <row r="291" spans="1:71" x14ac:dyDescent="0.55000000000000004">
      <c r="A291" s="10">
        <v>727</v>
      </c>
      <c r="B291" s="10">
        <v>2022</v>
      </c>
      <c r="C291" s="10">
        <v>7370</v>
      </c>
      <c r="D291" s="10">
        <v>67558</v>
      </c>
      <c r="E291" s="10">
        <v>22723</v>
      </c>
      <c r="F291" s="10">
        <v>13681</v>
      </c>
      <c r="G291" s="10">
        <v>10933</v>
      </c>
      <c r="H291" s="10">
        <v>2890</v>
      </c>
      <c r="I291" s="10">
        <v>27297</v>
      </c>
      <c r="J291" s="10">
        <v>0</v>
      </c>
      <c r="K291" s="10">
        <v>0</v>
      </c>
      <c r="L291" s="10">
        <v>7079</v>
      </c>
      <c r="M291" s="10">
        <v>14354</v>
      </c>
      <c r="N291" s="10">
        <v>1476</v>
      </c>
      <c r="O291" s="10">
        <v>5869</v>
      </c>
      <c r="P291" s="10">
        <v>15595</v>
      </c>
      <c r="Q291" s="10">
        <v>3220</v>
      </c>
      <c r="R291" s="10">
        <v>4170</v>
      </c>
      <c r="S291" s="10">
        <v>148119</v>
      </c>
      <c r="T291" s="10">
        <v>56096</v>
      </c>
      <c r="U291" s="10">
        <v>21.261329715061059</v>
      </c>
      <c r="V291" s="10">
        <v>20.542926078332691</v>
      </c>
      <c r="W291" s="10">
        <v>34.134920634920633</v>
      </c>
      <c r="X291" s="10">
        <v>18.09518989570039</v>
      </c>
      <c r="Y291" s="10">
        <v>27.847452671588332</v>
      </c>
      <c r="Z291" s="10">
        <v>18.199396323058629</v>
      </c>
      <c r="AA291" s="10">
        <v>18.182006920415223</v>
      </c>
      <c r="AB291" s="10">
        <v>30.391251785910541</v>
      </c>
      <c r="AC291" s="10">
        <v>48.454545454545453</v>
      </c>
      <c r="AD291" s="10">
        <v>0</v>
      </c>
      <c r="AE291" s="10">
        <v>0</v>
      </c>
      <c r="AF291" s="10">
        <v>41.912428591333423</v>
      </c>
      <c r="AG291" s="10">
        <v>26.665311653116532</v>
      </c>
      <c r="AH291" s="10">
        <v>25.078889078207528</v>
      </c>
      <c r="AI291" s="10">
        <v>41.945623597306827</v>
      </c>
      <c r="AJ291" s="10">
        <v>59.54545454545454</v>
      </c>
      <c r="AK291" s="10">
        <v>24.203726708074534</v>
      </c>
      <c r="AL291" s="10">
        <v>19.097601918465227</v>
      </c>
      <c r="AM291" s="10">
        <v>0</v>
      </c>
      <c r="AN291" s="10">
        <v>5</v>
      </c>
      <c r="AO291" s="10">
        <v>8</v>
      </c>
      <c r="AP291" s="10">
        <v>13</v>
      </c>
      <c r="AQ291" s="10">
        <v>7</v>
      </c>
      <c r="AR291" s="10">
        <v>6</v>
      </c>
      <c r="AS291" s="10">
        <v>1</v>
      </c>
      <c r="AT291" s="10">
        <v>8</v>
      </c>
      <c r="AU291" s="10">
        <v>3</v>
      </c>
      <c r="AV291" s="10">
        <v>0</v>
      </c>
      <c r="AW291" s="10">
        <v>4</v>
      </c>
      <c r="AX291" s="10">
        <v>7</v>
      </c>
      <c r="AY291" s="10">
        <v>1</v>
      </c>
      <c r="AZ291" s="10">
        <v>5</v>
      </c>
      <c r="BA291" s="10">
        <v>2</v>
      </c>
      <c r="BB291" s="10">
        <v>1</v>
      </c>
      <c r="BC291" s="10">
        <v>71</v>
      </c>
      <c r="BD291" s="10">
        <v>0</v>
      </c>
      <c r="BE291" s="10">
        <v>4</v>
      </c>
      <c r="BF291" s="10">
        <v>30</v>
      </c>
      <c r="BG291" s="10">
        <v>11</v>
      </c>
      <c r="BH291" s="10">
        <v>0</v>
      </c>
      <c r="BI291" s="10">
        <v>0</v>
      </c>
      <c r="BJ291" s="10">
        <v>5</v>
      </c>
      <c r="BK291" s="10">
        <v>0</v>
      </c>
      <c r="BL291" s="10">
        <v>0</v>
      </c>
      <c r="BM291" s="10">
        <v>0</v>
      </c>
      <c r="BN291" s="10">
        <v>0</v>
      </c>
      <c r="BO291" s="10">
        <v>0</v>
      </c>
      <c r="BP291" s="10">
        <v>1</v>
      </c>
      <c r="BQ291" s="10">
        <v>0</v>
      </c>
      <c r="BR291" s="10">
        <v>1</v>
      </c>
      <c r="BS291" s="10">
        <v>52</v>
      </c>
    </row>
    <row r="292" spans="1:71" x14ac:dyDescent="0.55000000000000004">
      <c r="A292" s="10">
        <v>273</v>
      </c>
      <c r="B292" s="10">
        <v>2022</v>
      </c>
      <c r="C292" s="10">
        <v>4126</v>
      </c>
      <c r="D292" s="10">
        <v>67663</v>
      </c>
      <c r="E292" s="10">
        <v>24827</v>
      </c>
      <c r="F292" s="10">
        <v>10791</v>
      </c>
      <c r="G292" s="10">
        <v>9853</v>
      </c>
      <c r="H292" s="10">
        <v>3855</v>
      </c>
      <c r="I292" s="10">
        <v>10474</v>
      </c>
      <c r="J292" s="10">
        <v>0</v>
      </c>
      <c r="K292" s="10">
        <v>0</v>
      </c>
      <c r="L292" s="10">
        <v>4339</v>
      </c>
      <c r="M292" s="10">
        <v>6756</v>
      </c>
      <c r="N292" s="10">
        <v>0</v>
      </c>
      <c r="O292" s="10">
        <v>3587</v>
      </c>
      <c r="P292" s="10">
        <v>25904</v>
      </c>
      <c r="Q292" s="10">
        <v>4110</v>
      </c>
      <c r="R292" s="10">
        <v>13904</v>
      </c>
      <c r="S292" s="10">
        <v>137276</v>
      </c>
      <c r="T292" s="10">
        <v>52913</v>
      </c>
      <c r="U292" s="10">
        <v>20.91056713523994</v>
      </c>
      <c r="V292" s="10">
        <v>25.290808861563928</v>
      </c>
      <c r="W292" s="10">
        <v>40.372125928546161</v>
      </c>
      <c r="X292" s="10">
        <v>21.046280259395015</v>
      </c>
      <c r="Y292" s="10">
        <v>38.553516819571868</v>
      </c>
      <c r="Z292" s="10">
        <v>19.720795696742108</v>
      </c>
      <c r="AA292" s="10">
        <v>17.906614785992218</v>
      </c>
      <c r="AB292" s="10">
        <v>34.024823372159631</v>
      </c>
      <c r="AC292" s="10">
        <v>70</v>
      </c>
      <c r="AD292" s="10">
        <v>0</v>
      </c>
      <c r="AE292" s="10">
        <v>26.888453560728276</v>
      </c>
      <c r="AF292" s="10">
        <v>49.15230905861457</v>
      </c>
      <c r="AG292" s="10">
        <v>0</v>
      </c>
      <c r="AH292" s="10">
        <v>30.369110677446333</v>
      </c>
      <c r="AI292" s="10">
        <v>46.040534280420012</v>
      </c>
      <c r="AJ292" s="10">
        <v>61.511249999999997</v>
      </c>
      <c r="AK292" s="10">
        <v>31.373236009732359</v>
      </c>
      <c r="AL292" s="10">
        <v>26.747123130034524</v>
      </c>
      <c r="AM292" s="10">
        <v>0</v>
      </c>
      <c r="AN292" s="10">
        <v>1</v>
      </c>
      <c r="AO292" s="10">
        <v>8</v>
      </c>
      <c r="AP292" s="10">
        <v>5</v>
      </c>
      <c r="AQ292" s="10">
        <v>9</v>
      </c>
      <c r="AR292" s="10">
        <v>4</v>
      </c>
      <c r="AS292" s="10">
        <v>0</v>
      </c>
      <c r="AT292" s="10">
        <v>3</v>
      </c>
      <c r="AU292" s="10">
        <v>3</v>
      </c>
      <c r="AV292" s="10">
        <v>0</v>
      </c>
      <c r="AW292" s="10">
        <v>1</v>
      </c>
      <c r="AX292" s="10">
        <v>6</v>
      </c>
      <c r="AY292" s="10">
        <v>0</v>
      </c>
      <c r="AZ292" s="10">
        <v>1</v>
      </c>
      <c r="BA292" s="10">
        <v>2</v>
      </c>
      <c r="BB292" s="10">
        <v>1</v>
      </c>
      <c r="BC292" s="10">
        <v>44</v>
      </c>
      <c r="BD292" s="10">
        <v>3</v>
      </c>
      <c r="BE292" s="10">
        <v>1</v>
      </c>
      <c r="BF292" s="10">
        <v>55</v>
      </c>
      <c r="BG292" s="10">
        <v>10</v>
      </c>
      <c r="BH292" s="10">
        <v>6</v>
      </c>
      <c r="BI292" s="10">
        <v>0</v>
      </c>
      <c r="BJ292" s="10">
        <v>7</v>
      </c>
      <c r="BK292" s="10">
        <v>0</v>
      </c>
      <c r="BL292" s="10">
        <v>0</v>
      </c>
      <c r="BM292" s="10">
        <v>0</v>
      </c>
      <c r="BN292" s="10">
        <v>4</v>
      </c>
      <c r="BO292" s="10">
        <v>0</v>
      </c>
      <c r="BP292" s="10">
        <v>18</v>
      </c>
      <c r="BQ292" s="10">
        <v>0</v>
      </c>
      <c r="BR292" s="10">
        <v>5</v>
      </c>
      <c r="BS292" s="10">
        <v>109</v>
      </c>
    </row>
    <row r="293" spans="1:71" x14ac:dyDescent="0.55000000000000004">
      <c r="A293" s="10">
        <v>510</v>
      </c>
      <c r="B293" s="10">
        <v>2022</v>
      </c>
      <c r="C293" s="10">
        <v>4068</v>
      </c>
      <c r="D293" s="10">
        <v>67941</v>
      </c>
      <c r="E293" s="10">
        <v>21277</v>
      </c>
      <c r="F293" s="10">
        <v>2543</v>
      </c>
      <c r="G293" s="10">
        <v>2454</v>
      </c>
      <c r="H293" s="10">
        <v>3490</v>
      </c>
      <c r="I293" s="10">
        <v>12633</v>
      </c>
      <c r="J293" s="10">
        <v>0</v>
      </c>
      <c r="K293" s="10">
        <v>0</v>
      </c>
      <c r="L293" s="10">
        <v>8199</v>
      </c>
      <c r="M293" s="10">
        <v>14320</v>
      </c>
      <c r="N293" s="10">
        <v>0</v>
      </c>
      <c r="O293" s="10">
        <v>280</v>
      </c>
      <c r="P293" s="10">
        <v>21312</v>
      </c>
      <c r="Q293" s="10">
        <v>2858</v>
      </c>
      <c r="R293" s="10">
        <v>1931</v>
      </c>
      <c r="S293" s="10">
        <v>133262</v>
      </c>
      <c r="T293" s="10">
        <v>30044</v>
      </c>
      <c r="U293" s="10">
        <v>22.750491642084562</v>
      </c>
      <c r="V293" s="10">
        <v>28.562031762853064</v>
      </c>
      <c r="W293" s="10">
        <v>34.808243727598565</v>
      </c>
      <c r="X293" s="10">
        <v>28.522771067349719</v>
      </c>
      <c r="Y293" s="10">
        <v>71.453794730633106</v>
      </c>
      <c r="Z293" s="10">
        <v>17.73553382233089</v>
      </c>
      <c r="AA293" s="10">
        <v>19.444126074498566</v>
      </c>
      <c r="AB293" s="10">
        <v>34.798939285996994</v>
      </c>
      <c r="AC293" s="10">
        <v>52.153530377668311</v>
      </c>
      <c r="AD293" s="10">
        <v>0</v>
      </c>
      <c r="AE293" s="10">
        <v>23.15501890474448</v>
      </c>
      <c r="AF293" s="10">
        <v>45.4413407821229</v>
      </c>
      <c r="AG293" s="10">
        <v>0</v>
      </c>
      <c r="AH293" s="10">
        <v>29.524999999999999</v>
      </c>
      <c r="AI293" s="10">
        <v>48.660613738738732</v>
      </c>
      <c r="AJ293" s="10">
        <v>61.750593824228027</v>
      </c>
      <c r="AK293" s="10">
        <v>29.982505248425472</v>
      </c>
      <c r="AL293" s="10">
        <v>28.140859658208186</v>
      </c>
      <c r="AM293" s="10">
        <v>0</v>
      </c>
      <c r="AN293" s="10">
        <v>2</v>
      </c>
      <c r="AO293" s="10">
        <v>0</v>
      </c>
      <c r="AP293" s="10">
        <v>17</v>
      </c>
      <c r="AQ293" s="10">
        <v>0</v>
      </c>
      <c r="AR293" s="10">
        <v>0</v>
      </c>
      <c r="AS293" s="10">
        <v>0</v>
      </c>
      <c r="AT293" s="10">
        <v>5</v>
      </c>
      <c r="AU293" s="10">
        <v>0</v>
      </c>
      <c r="AV293" s="10">
        <v>0</v>
      </c>
      <c r="AW293" s="10">
        <v>4</v>
      </c>
      <c r="AX293" s="10">
        <v>6</v>
      </c>
      <c r="AY293" s="10">
        <v>0</v>
      </c>
      <c r="AZ293" s="10">
        <v>6</v>
      </c>
      <c r="BA293" s="10">
        <v>1</v>
      </c>
      <c r="BB293" s="10">
        <v>0</v>
      </c>
      <c r="BC293" s="10">
        <v>41</v>
      </c>
      <c r="BD293" s="10">
        <v>0</v>
      </c>
      <c r="BE293" s="10">
        <v>0</v>
      </c>
      <c r="BF293" s="10">
        <v>34</v>
      </c>
      <c r="BG293" s="10">
        <v>0</v>
      </c>
      <c r="BH293" s="10">
        <v>0</v>
      </c>
      <c r="BI293" s="10">
        <v>0</v>
      </c>
      <c r="BJ293" s="10">
        <v>6</v>
      </c>
      <c r="BK293" s="10">
        <v>0</v>
      </c>
      <c r="BL293" s="10">
        <v>0</v>
      </c>
      <c r="BM293" s="10">
        <v>0</v>
      </c>
      <c r="BN293" s="10">
        <v>0</v>
      </c>
      <c r="BO293" s="10">
        <v>0</v>
      </c>
      <c r="BP293" s="10">
        <v>4</v>
      </c>
      <c r="BQ293" s="10">
        <v>1</v>
      </c>
      <c r="BR293" s="10">
        <v>2</v>
      </c>
      <c r="BS293" s="10">
        <v>47</v>
      </c>
    </row>
    <row r="294" spans="1:71" x14ac:dyDescent="0.55000000000000004">
      <c r="A294" s="10">
        <v>628</v>
      </c>
      <c r="B294" s="10">
        <v>2022</v>
      </c>
      <c r="C294" s="10">
        <v>7556</v>
      </c>
      <c r="D294" s="10">
        <v>69112</v>
      </c>
      <c r="E294" s="10">
        <v>22016</v>
      </c>
      <c r="F294" s="10">
        <v>5957</v>
      </c>
      <c r="G294" s="10">
        <v>7251</v>
      </c>
      <c r="H294" s="10">
        <v>811</v>
      </c>
      <c r="I294" s="10">
        <v>9688</v>
      </c>
      <c r="J294" s="10">
        <v>0</v>
      </c>
      <c r="K294" s="10">
        <v>0</v>
      </c>
      <c r="L294" s="10">
        <v>11338</v>
      </c>
      <c r="M294" s="10">
        <v>15571</v>
      </c>
      <c r="N294" s="10">
        <v>1321</v>
      </c>
      <c r="O294" s="10">
        <v>6276</v>
      </c>
      <c r="P294" s="10">
        <v>44825</v>
      </c>
      <c r="Q294" s="10">
        <v>5729</v>
      </c>
      <c r="R294" s="10">
        <v>4219</v>
      </c>
      <c r="S294" s="10">
        <v>169359</v>
      </c>
      <c r="T294" s="10">
        <v>42311</v>
      </c>
      <c r="U294" s="10">
        <v>20.958311275807304</v>
      </c>
      <c r="V294" s="10">
        <v>18.667988193077903</v>
      </c>
      <c r="W294" s="10">
        <v>28.717808219178082</v>
      </c>
      <c r="X294" s="10">
        <v>13.658566497093023</v>
      </c>
      <c r="Y294" s="10">
        <v>32.138828269263051</v>
      </c>
      <c r="Z294" s="10">
        <v>15.895048958764308</v>
      </c>
      <c r="AA294" s="10">
        <v>15.940813810110974</v>
      </c>
      <c r="AB294" s="10">
        <v>28.634599504541701</v>
      </c>
      <c r="AC294" s="10">
        <v>46.728590694538099</v>
      </c>
      <c r="AD294" s="10">
        <v>0</v>
      </c>
      <c r="AE294" s="10">
        <v>18.860116422649497</v>
      </c>
      <c r="AF294" s="10">
        <v>41.19844582878428</v>
      </c>
      <c r="AG294" s="10">
        <v>10.58213474640424</v>
      </c>
      <c r="AH294" s="10">
        <v>22.917304015296367</v>
      </c>
      <c r="AI294" s="10">
        <v>35.900591187953154</v>
      </c>
      <c r="AJ294" s="10">
        <v>58.117346938775512</v>
      </c>
      <c r="AK294" s="10">
        <v>28.126025484377728</v>
      </c>
      <c r="AL294" s="10">
        <v>19.04645650628111</v>
      </c>
      <c r="AM294" s="10">
        <v>0</v>
      </c>
      <c r="AN294" s="10">
        <v>3</v>
      </c>
      <c r="AO294" s="10">
        <v>3</v>
      </c>
      <c r="AP294" s="10">
        <v>30</v>
      </c>
      <c r="AQ294" s="10">
        <v>8</v>
      </c>
      <c r="AR294" s="10">
        <v>4</v>
      </c>
      <c r="AS294" s="10">
        <v>0</v>
      </c>
      <c r="AT294" s="10">
        <v>5</v>
      </c>
      <c r="AU294" s="10">
        <v>3</v>
      </c>
      <c r="AV294" s="10">
        <v>0</v>
      </c>
      <c r="AW294" s="10">
        <v>4</v>
      </c>
      <c r="AX294" s="10">
        <v>7</v>
      </c>
      <c r="AY294" s="10">
        <v>0</v>
      </c>
      <c r="AZ294" s="10">
        <v>20</v>
      </c>
      <c r="BA294" s="10">
        <v>3</v>
      </c>
      <c r="BB294" s="10">
        <v>1</v>
      </c>
      <c r="BC294" s="10">
        <v>91</v>
      </c>
      <c r="BD294" s="10">
        <v>1</v>
      </c>
      <c r="BE294" s="10">
        <v>0</v>
      </c>
      <c r="BF294" s="10">
        <v>12</v>
      </c>
      <c r="BG294" s="10">
        <v>4</v>
      </c>
      <c r="BH294" s="10">
        <v>0</v>
      </c>
      <c r="BI294" s="10">
        <v>0</v>
      </c>
      <c r="BJ294" s="10">
        <v>0</v>
      </c>
      <c r="BK294" s="10">
        <v>0</v>
      </c>
      <c r="BL294" s="10">
        <v>0</v>
      </c>
      <c r="BM294" s="10">
        <v>2</v>
      </c>
      <c r="BN294" s="10">
        <v>1</v>
      </c>
      <c r="BO294" s="10">
        <v>1</v>
      </c>
      <c r="BP294" s="10">
        <v>5</v>
      </c>
      <c r="BQ294" s="10">
        <v>0</v>
      </c>
      <c r="BR294" s="10">
        <v>2</v>
      </c>
      <c r="BS294" s="10">
        <v>28</v>
      </c>
    </row>
    <row r="295" spans="1:71" x14ac:dyDescent="0.55000000000000004">
      <c r="A295" s="10">
        <v>567</v>
      </c>
      <c r="B295" s="10">
        <v>2022</v>
      </c>
      <c r="C295" s="10">
        <v>10009</v>
      </c>
      <c r="D295" s="10">
        <v>69239</v>
      </c>
      <c r="E295" s="10">
        <v>44570</v>
      </c>
      <c r="F295" s="10">
        <v>8740</v>
      </c>
      <c r="G295" s="10">
        <v>9812</v>
      </c>
      <c r="H295" s="10">
        <v>0</v>
      </c>
      <c r="I295" s="10">
        <v>30492</v>
      </c>
      <c r="J295" s="10">
        <v>1023</v>
      </c>
      <c r="K295" s="10">
        <v>0</v>
      </c>
      <c r="L295" s="10">
        <v>13690</v>
      </c>
      <c r="M295" s="10">
        <v>12410</v>
      </c>
      <c r="N295" s="10">
        <v>0</v>
      </c>
      <c r="O295" s="10">
        <v>7164</v>
      </c>
      <c r="P295" s="10">
        <v>41544</v>
      </c>
      <c r="Q295" s="10">
        <v>12810</v>
      </c>
      <c r="R295" s="10">
        <v>0</v>
      </c>
      <c r="S295" s="10">
        <v>191217</v>
      </c>
      <c r="T295" s="10">
        <v>70286</v>
      </c>
      <c r="U295" s="10">
        <v>19.213607753022281</v>
      </c>
      <c r="V295" s="10">
        <v>21.916593249469226</v>
      </c>
      <c r="W295" s="10">
        <v>33.810741959452287</v>
      </c>
      <c r="X295" s="10">
        <v>16.242405205295043</v>
      </c>
      <c r="Y295" s="10">
        <v>51.490503432494279</v>
      </c>
      <c r="Z295" s="10">
        <v>16.383408071748878</v>
      </c>
      <c r="AA295" s="10">
        <v>0</v>
      </c>
      <c r="AB295" s="10">
        <v>32.824445756263941</v>
      </c>
      <c r="AC295" s="10">
        <v>49.987247242647065</v>
      </c>
      <c r="AD295" s="10">
        <v>0</v>
      </c>
      <c r="AE295" s="10">
        <v>17.239590942293642</v>
      </c>
      <c r="AF295" s="10">
        <v>41.100564061240931</v>
      </c>
      <c r="AG295" s="10">
        <v>0</v>
      </c>
      <c r="AH295" s="10">
        <v>19.80890563930765</v>
      </c>
      <c r="AI295" s="10">
        <v>41.182336799537836</v>
      </c>
      <c r="AJ295" s="10">
        <v>61.864835336350865</v>
      </c>
      <c r="AK295" s="10">
        <v>26.974316939890709</v>
      </c>
      <c r="AL295" s="10">
        <v>0</v>
      </c>
      <c r="AM295" s="10">
        <v>0</v>
      </c>
      <c r="AN295" s="10">
        <v>5</v>
      </c>
      <c r="AO295" s="10">
        <v>5</v>
      </c>
      <c r="AP295" s="10">
        <v>27</v>
      </c>
      <c r="AQ295" s="10">
        <v>14</v>
      </c>
      <c r="AR295" s="10">
        <v>5</v>
      </c>
      <c r="AS295" s="10">
        <v>0</v>
      </c>
      <c r="AT295" s="10">
        <v>14</v>
      </c>
      <c r="AU295" s="10">
        <v>1</v>
      </c>
      <c r="AV295" s="10">
        <v>0</v>
      </c>
      <c r="AW295" s="10">
        <v>5</v>
      </c>
      <c r="AX295" s="10">
        <v>5</v>
      </c>
      <c r="AY295" s="10">
        <v>0</v>
      </c>
      <c r="AZ295" s="10">
        <v>18</v>
      </c>
      <c r="BA295" s="10">
        <v>5</v>
      </c>
      <c r="BB295" s="10">
        <v>0</v>
      </c>
      <c r="BC295" s="10">
        <v>104</v>
      </c>
      <c r="BD295" s="10">
        <v>1</v>
      </c>
      <c r="BE295" s="10">
        <v>6</v>
      </c>
      <c r="BF295" s="10">
        <v>4</v>
      </c>
      <c r="BG295" s="10">
        <v>24</v>
      </c>
      <c r="BH295" s="10">
        <v>2</v>
      </c>
      <c r="BI295" s="10">
        <v>0</v>
      </c>
      <c r="BJ295" s="10">
        <v>5</v>
      </c>
      <c r="BK295" s="10">
        <v>1</v>
      </c>
      <c r="BL295" s="10">
        <v>0</v>
      </c>
      <c r="BM295" s="10">
        <v>2</v>
      </c>
      <c r="BN295" s="10">
        <v>0</v>
      </c>
      <c r="BO295" s="10">
        <v>0</v>
      </c>
      <c r="BP295" s="10">
        <v>5</v>
      </c>
      <c r="BQ295" s="10">
        <v>2</v>
      </c>
      <c r="BR295" s="10">
        <v>0</v>
      </c>
      <c r="BS295" s="10">
        <v>52</v>
      </c>
    </row>
    <row r="296" spans="1:71" x14ac:dyDescent="0.55000000000000004">
      <c r="A296" s="10">
        <v>223</v>
      </c>
      <c r="B296" s="10">
        <v>2022</v>
      </c>
      <c r="C296" s="10">
        <v>8319</v>
      </c>
      <c r="D296" s="10">
        <v>69631</v>
      </c>
      <c r="E296" s="10">
        <v>36267</v>
      </c>
      <c r="F296" s="10">
        <v>5859</v>
      </c>
      <c r="G296" s="10">
        <v>0</v>
      </c>
      <c r="H296" s="10">
        <v>0</v>
      </c>
      <c r="I296" s="10">
        <v>44818</v>
      </c>
      <c r="J296" s="10">
        <v>2193</v>
      </c>
      <c r="K296" s="10">
        <v>0</v>
      </c>
      <c r="L296" s="10">
        <v>5211</v>
      </c>
      <c r="M296" s="10">
        <v>13213</v>
      </c>
      <c r="N296" s="10">
        <v>2365</v>
      </c>
      <c r="O296" s="10">
        <v>7587</v>
      </c>
      <c r="P296" s="10">
        <v>14973</v>
      </c>
      <c r="Q296" s="10">
        <v>9546</v>
      </c>
      <c r="R296" s="10">
        <v>10210</v>
      </c>
      <c r="S296" s="10">
        <v>180479</v>
      </c>
      <c r="T296" s="10">
        <v>49713</v>
      </c>
      <c r="U296" s="10">
        <v>22.035100372640944</v>
      </c>
      <c r="V296" s="10">
        <v>28.36242478206546</v>
      </c>
      <c r="W296" s="10">
        <v>37.452798663324977</v>
      </c>
      <c r="X296" s="10">
        <v>14.366283398130532</v>
      </c>
      <c r="Y296" s="10">
        <v>33.224270353302607</v>
      </c>
      <c r="Z296" s="10">
        <v>0</v>
      </c>
      <c r="AA296" s="10">
        <v>0</v>
      </c>
      <c r="AB296" s="10">
        <v>42.03320094604846</v>
      </c>
      <c r="AC296" s="10">
        <v>49.932159165035877</v>
      </c>
      <c r="AD296" s="10">
        <v>0</v>
      </c>
      <c r="AE296" s="10">
        <v>26.462675110343504</v>
      </c>
      <c r="AF296" s="10">
        <v>39.845228184363883</v>
      </c>
      <c r="AG296" s="10">
        <v>31.986892177589851</v>
      </c>
      <c r="AH296" s="10">
        <v>17.260577303281927</v>
      </c>
      <c r="AI296" s="10">
        <v>49.725973418820537</v>
      </c>
      <c r="AJ296" s="10">
        <v>64.115369604246354</v>
      </c>
      <c r="AK296" s="10">
        <v>27.118059920385502</v>
      </c>
      <c r="AL296" s="10">
        <v>29.489226248775712</v>
      </c>
      <c r="AM296" s="10">
        <v>0</v>
      </c>
      <c r="AN296" s="10">
        <v>4</v>
      </c>
      <c r="AO296" s="10">
        <v>1</v>
      </c>
      <c r="AP296" s="10">
        <v>26</v>
      </c>
      <c r="AQ296" s="10">
        <v>15</v>
      </c>
      <c r="AR296" s="10">
        <v>0</v>
      </c>
      <c r="AS296" s="10">
        <v>0</v>
      </c>
      <c r="AT296" s="10">
        <v>13</v>
      </c>
      <c r="AU296" s="10">
        <v>4</v>
      </c>
      <c r="AV296" s="10">
        <v>0</v>
      </c>
      <c r="AW296" s="10">
        <v>3</v>
      </c>
      <c r="AX296" s="10">
        <v>3</v>
      </c>
      <c r="AY296" s="10">
        <v>0</v>
      </c>
      <c r="AZ296" s="10">
        <v>4</v>
      </c>
      <c r="BA296" s="10">
        <v>4</v>
      </c>
      <c r="BB296" s="10">
        <v>3</v>
      </c>
      <c r="BC296" s="10">
        <v>80</v>
      </c>
      <c r="BD296" s="10">
        <v>0</v>
      </c>
      <c r="BE296" s="10">
        <v>0</v>
      </c>
      <c r="BF296" s="10">
        <v>15</v>
      </c>
      <c r="BG296" s="10">
        <v>11</v>
      </c>
      <c r="BH296" s="10">
        <v>0</v>
      </c>
      <c r="BI296" s="10">
        <v>0</v>
      </c>
      <c r="BJ296" s="10">
        <v>7</v>
      </c>
      <c r="BK296" s="10">
        <v>0</v>
      </c>
      <c r="BL296" s="10">
        <v>0</v>
      </c>
      <c r="BM296" s="10">
        <v>0</v>
      </c>
      <c r="BN296" s="10">
        <v>2</v>
      </c>
      <c r="BO296" s="10">
        <v>1</v>
      </c>
      <c r="BP296" s="10">
        <v>4</v>
      </c>
      <c r="BQ296" s="10">
        <v>1</v>
      </c>
      <c r="BR296" s="10">
        <v>0</v>
      </c>
      <c r="BS296" s="10">
        <v>41</v>
      </c>
    </row>
    <row r="297" spans="1:71" x14ac:dyDescent="0.55000000000000004">
      <c r="A297" s="10">
        <v>497</v>
      </c>
      <c r="B297" s="10">
        <v>2022</v>
      </c>
      <c r="C297" s="10">
        <v>9492</v>
      </c>
      <c r="D297" s="10">
        <v>69661</v>
      </c>
      <c r="E297" s="10">
        <v>24895</v>
      </c>
      <c r="F297" s="10">
        <v>4603</v>
      </c>
      <c r="G297" s="10">
        <v>17417</v>
      </c>
      <c r="H297" s="10">
        <v>3252</v>
      </c>
      <c r="I297" s="10">
        <v>23822</v>
      </c>
      <c r="J297" s="10">
        <v>0</v>
      </c>
      <c r="K297" s="10">
        <v>0</v>
      </c>
      <c r="L297" s="10">
        <v>5458</v>
      </c>
      <c r="M297" s="10">
        <v>6875</v>
      </c>
      <c r="N297" s="10">
        <v>1020</v>
      </c>
      <c r="O297" s="10">
        <v>3418</v>
      </c>
      <c r="P297" s="10">
        <v>30454</v>
      </c>
      <c r="Q297" s="10">
        <v>5541</v>
      </c>
      <c r="R297" s="10">
        <v>5163</v>
      </c>
      <c r="S297" s="10">
        <v>157486</v>
      </c>
      <c r="T297" s="10">
        <v>53585</v>
      </c>
      <c r="U297" s="10">
        <v>15.895806995364516</v>
      </c>
      <c r="V297" s="10">
        <v>22.832101175693715</v>
      </c>
      <c r="W297" s="10">
        <v>0</v>
      </c>
      <c r="X297" s="10">
        <v>13.327415143603133</v>
      </c>
      <c r="Y297" s="10">
        <v>46.873777970888547</v>
      </c>
      <c r="Z297" s="10">
        <v>16.185680656829533</v>
      </c>
      <c r="AA297" s="10">
        <v>14.354243542435425</v>
      </c>
      <c r="AB297" s="10">
        <v>31.987154730920999</v>
      </c>
      <c r="AC297" s="10">
        <v>0</v>
      </c>
      <c r="AD297" s="10">
        <v>0</v>
      </c>
      <c r="AE297" s="10">
        <v>22.893917185782339</v>
      </c>
      <c r="AF297" s="10">
        <v>43.928727272727272</v>
      </c>
      <c r="AG297" s="10">
        <v>16.475490196078432</v>
      </c>
      <c r="AH297" s="10">
        <v>23.673200702165008</v>
      </c>
      <c r="AI297" s="10">
        <v>38.256321008734481</v>
      </c>
      <c r="AJ297" s="10">
        <v>0</v>
      </c>
      <c r="AK297" s="10">
        <v>27.009023641941887</v>
      </c>
      <c r="AL297" s="10">
        <v>23.443540577183807</v>
      </c>
      <c r="AM297" s="10">
        <v>0</v>
      </c>
      <c r="AN297" s="10">
        <v>4</v>
      </c>
      <c r="AO297" s="10">
        <v>3</v>
      </c>
      <c r="AP297" s="10">
        <v>17</v>
      </c>
      <c r="AQ297" s="10">
        <v>9</v>
      </c>
      <c r="AR297" s="10">
        <v>7</v>
      </c>
      <c r="AS297" s="10">
        <v>1</v>
      </c>
      <c r="AT297" s="10">
        <v>7</v>
      </c>
      <c r="AU297" s="10">
        <v>3</v>
      </c>
      <c r="AV297" s="10">
        <v>0</v>
      </c>
      <c r="AW297" s="10">
        <v>3</v>
      </c>
      <c r="AX297" s="10">
        <v>2</v>
      </c>
      <c r="AY297" s="10">
        <v>0</v>
      </c>
      <c r="AZ297" s="10">
        <v>15</v>
      </c>
      <c r="BA297" s="10">
        <v>2</v>
      </c>
      <c r="BB297" s="10">
        <v>0</v>
      </c>
      <c r="BC297" s="10">
        <v>73</v>
      </c>
      <c r="BD297" s="10">
        <v>9</v>
      </c>
      <c r="BE297" s="10">
        <v>0</v>
      </c>
      <c r="BF297" s="10">
        <v>54</v>
      </c>
      <c r="BG297" s="10">
        <v>10</v>
      </c>
      <c r="BH297" s="10">
        <v>7</v>
      </c>
      <c r="BI297" s="10">
        <v>0</v>
      </c>
      <c r="BJ297" s="10">
        <v>10</v>
      </c>
      <c r="BK297" s="10">
        <v>0</v>
      </c>
      <c r="BL297" s="10">
        <v>0</v>
      </c>
      <c r="BM297" s="10">
        <v>1</v>
      </c>
      <c r="BN297" s="10">
        <v>0</v>
      </c>
      <c r="BO297" s="10">
        <v>2</v>
      </c>
      <c r="BP297" s="10">
        <v>14</v>
      </c>
      <c r="BQ297" s="10">
        <v>0</v>
      </c>
      <c r="BR297" s="10">
        <v>0</v>
      </c>
      <c r="BS297" s="10">
        <v>107</v>
      </c>
    </row>
    <row r="298" spans="1:71" x14ac:dyDescent="0.55000000000000004">
      <c r="A298" s="10">
        <v>306</v>
      </c>
      <c r="B298" s="10">
        <v>2022</v>
      </c>
      <c r="C298" s="10">
        <v>8992</v>
      </c>
      <c r="D298" s="10">
        <v>69698</v>
      </c>
      <c r="E298" s="10">
        <v>28937</v>
      </c>
      <c r="F298" s="10">
        <v>8500</v>
      </c>
      <c r="G298" s="10">
        <v>10950</v>
      </c>
      <c r="H298" s="10">
        <v>4393</v>
      </c>
      <c r="I298" s="10">
        <v>16951</v>
      </c>
      <c r="J298" s="10">
        <v>0</v>
      </c>
      <c r="K298" s="10">
        <v>0</v>
      </c>
      <c r="L298" s="10">
        <v>6941</v>
      </c>
      <c r="M298" s="10">
        <v>12613</v>
      </c>
      <c r="N298" s="10">
        <v>9922</v>
      </c>
      <c r="O298" s="10">
        <v>6661</v>
      </c>
      <c r="P298" s="10">
        <v>37854</v>
      </c>
      <c r="Q298" s="10">
        <v>5920</v>
      </c>
      <c r="R298" s="10">
        <v>12236</v>
      </c>
      <c r="S298" s="10">
        <v>181127</v>
      </c>
      <c r="T298" s="10">
        <v>59441</v>
      </c>
      <c r="U298" s="10">
        <v>24.291814946619215</v>
      </c>
      <c r="V298" s="10">
        <v>23.695428850182214</v>
      </c>
      <c r="W298" s="10">
        <v>33.215987933634992</v>
      </c>
      <c r="X298" s="10">
        <v>20.726336524173206</v>
      </c>
      <c r="Y298" s="10">
        <v>35.06752941176471</v>
      </c>
      <c r="Z298" s="10">
        <v>18.055342465753423</v>
      </c>
      <c r="AA298" s="10">
        <v>21.319144092875028</v>
      </c>
      <c r="AB298" s="10">
        <v>39.479086779541028</v>
      </c>
      <c r="AC298" s="10">
        <v>51.582417582417584</v>
      </c>
      <c r="AD298" s="10">
        <v>0</v>
      </c>
      <c r="AE298" s="10">
        <v>23.474571387408151</v>
      </c>
      <c r="AF298" s="10">
        <v>38.664948862284938</v>
      </c>
      <c r="AG298" s="10">
        <v>26.151481556137874</v>
      </c>
      <c r="AH298" s="10">
        <v>26.967572436571086</v>
      </c>
      <c r="AI298" s="10">
        <v>39.153061763618112</v>
      </c>
      <c r="AJ298" s="10">
        <v>65.600389863547761</v>
      </c>
      <c r="AK298" s="10">
        <v>30.72922297297297</v>
      </c>
      <c r="AL298" s="10">
        <v>27.735452762340632</v>
      </c>
      <c r="AM298" s="10">
        <v>0</v>
      </c>
      <c r="AN298" s="10">
        <v>3</v>
      </c>
      <c r="AO298" s="10">
        <v>3</v>
      </c>
      <c r="AP298" s="10">
        <v>26</v>
      </c>
      <c r="AQ298" s="10">
        <v>11</v>
      </c>
      <c r="AR298" s="10">
        <v>4</v>
      </c>
      <c r="AS298" s="10">
        <v>2</v>
      </c>
      <c r="AT298" s="10">
        <v>7</v>
      </c>
      <c r="AU298" s="10">
        <v>3</v>
      </c>
      <c r="AV298" s="10">
        <v>0</v>
      </c>
      <c r="AW298" s="10">
        <v>4</v>
      </c>
      <c r="AX298" s="10">
        <v>5</v>
      </c>
      <c r="AY298" s="10">
        <v>2</v>
      </c>
      <c r="AZ298" s="10">
        <v>17</v>
      </c>
      <c r="BA298" s="10">
        <v>4</v>
      </c>
      <c r="BB298" s="10">
        <v>4</v>
      </c>
      <c r="BC298" s="10">
        <v>95</v>
      </c>
      <c r="BD298" s="10">
        <v>8</v>
      </c>
      <c r="BE298" s="10">
        <v>0</v>
      </c>
      <c r="BF298" s="10">
        <v>19</v>
      </c>
      <c r="BG298" s="10">
        <v>16</v>
      </c>
      <c r="BH298" s="10">
        <v>3</v>
      </c>
      <c r="BI298" s="10">
        <v>2</v>
      </c>
      <c r="BJ298" s="10">
        <v>2</v>
      </c>
      <c r="BK298" s="10">
        <v>0</v>
      </c>
      <c r="BL298" s="10">
        <v>0</v>
      </c>
      <c r="BM298" s="10">
        <v>0</v>
      </c>
      <c r="BN298" s="10">
        <v>0</v>
      </c>
      <c r="BO298" s="10">
        <v>0</v>
      </c>
      <c r="BP298" s="10">
        <v>1</v>
      </c>
      <c r="BQ298" s="10">
        <v>0</v>
      </c>
      <c r="BR298" s="10">
        <v>2</v>
      </c>
      <c r="BS298" s="10">
        <v>53</v>
      </c>
    </row>
    <row r="299" spans="1:71" x14ac:dyDescent="0.55000000000000004">
      <c r="A299" s="10">
        <v>910</v>
      </c>
      <c r="B299" s="10">
        <v>2022</v>
      </c>
      <c r="C299" s="10">
        <v>14462</v>
      </c>
      <c r="D299" s="10">
        <v>70373</v>
      </c>
      <c r="E299" s="10">
        <v>51320</v>
      </c>
      <c r="F299" s="10">
        <v>12901</v>
      </c>
      <c r="G299" s="10">
        <v>14239</v>
      </c>
      <c r="H299" s="10">
        <v>3967</v>
      </c>
      <c r="I299" s="10">
        <v>18234</v>
      </c>
      <c r="J299" s="10">
        <v>552</v>
      </c>
      <c r="K299" s="10">
        <v>0</v>
      </c>
      <c r="L299" s="10">
        <v>12434</v>
      </c>
      <c r="M299" s="10">
        <v>15371</v>
      </c>
      <c r="N299" s="10">
        <v>4296</v>
      </c>
      <c r="O299" s="10">
        <v>4944</v>
      </c>
      <c r="P299" s="10">
        <v>18391</v>
      </c>
      <c r="Q299" s="10">
        <v>6423</v>
      </c>
      <c r="R299" s="10">
        <v>18498</v>
      </c>
      <c r="S299" s="10">
        <v>179034</v>
      </c>
      <c r="T299" s="10">
        <v>87371</v>
      </c>
      <c r="U299" s="10">
        <v>20.051721753561058</v>
      </c>
      <c r="V299" s="10">
        <v>21.976041947906158</v>
      </c>
      <c r="W299" s="10">
        <v>47.450371148919395</v>
      </c>
      <c r="X299" s="10">
        <v>11.040510522213562</v>
      </c>
      <c r="Y299" s="10">
        <v>30.640260444926749</v>
      </c>
      <c r="Z299" s="10">
        <v>18.210127115668236</v>
      </c>
      <c r="AA299" s="10">
        <v>18.053440887320392</v>
      </c>
      <c r="AB299" s="10">
        <v>31.184819567840297</v>
      </c>
      <c r="AC299" s="10">
        <v>76.880980163360562</v>
      </c>
      <c r="AD299" s="10">
        <v>0</v>
      </c>
      <c r="AE299" s="10">
        <v>25.002814862473862</v>
      </c>
      <c r="AF299" s="10">
        <v>41.493136425736779</v>
      </c>
      <c r="AG299" s="10">
        <v>23.946461824953445</v>
      </c>
      <c r="AH299" s="10">
        <v>22.108616504854368</v>
      </c>
      <c r="AI299" s="10">
        <v>39.898754825729974</v>
      </c>
      <c r="AJ299" s="10">
        <v>69.283343212803786</v>
      </c>
      <c r="AK299" s="10">
        <v>32.894597540090302</v>
      </c>
      <c r="AL299" s="10">
        <v>25.91463942047789</v>
      </c>
      <c r="AM299" s="10">
        <v>0</v>
      </c>
      <c r="AN299" s="10">
        <v>6</v>
      </c>
      <c r="AO299" s="10">
        <v>7</v>
      </c>
      <c r="AP299" s="10">
        <v>19</v>
      </c>
      <c r="AQ299" s="10">
        <v>19</v>
      </c>
      <c r="AR299" s="10">
        <v>6</v>
      </c>
      <c r="AS299" s="10">
        <v>2</v>
      </c>
      <c r="AT299" s="10">
        <v>4</v>
      </c>
      <c r="AU299" s="10">
        <v>4</v>
      </c>
      <c r="AV299" s="10">
        <v>0</v>
      </c>
      <c r="AW299" s="10">
        <v>6</v>
      </c>
      <c r="AX299" s="10">
        <v>8</v>
      </c>
      <c r="AY299" s="10">
        <v>1</v>
      </c>
      <c r="AZ299" s="10">
        <v>7</v>
      </c>
      <c r="BA299" s="10">
        <v>3</v>
      </c>
      <c r="BB299" s="10">
        <v>6</v>
      </c>
      <c r="BC299" s="10">
        <v>98</v>
      </c>
      <c r="BD299" s="10">
        <v>2</v>
      </c>
      <c r="BE299" s="10">
        <v>2</v>
      </c>
      <c r="BF299" s="10">
        <v>23</v>
      </c>
      <c r="BG299" s="10">
        <v>5</v>
      </c>
      <c r="BH299" s="10">
        <v>2</v>
      </c>
      <c r="BI299" s="10">
        <v>0</v>
      </c>
      <c r="BJ299" s="10">
        <v>5</v>
      </c>
      <c r="BK299" s="10">
        <v>0</v>
      </c>
      <c r="BL299" s="10">
        <v>0</v>
      </c>
      <c r="BM299" s="10">
        <v>0</v>
      </c>
      <c r="BN299" s="10">
        <v>0</v>
      </c>
      <c r="BO299" s="10">
        <v>1</v>
      </c>
      <c r="BP299" s="10">
        <v>0</v>
      </c>
      <c r="BQ299" s="10">
        <v>0</v>
      </c>
      <c r="BR299" s="10">
        <v>2</v>
      </c>
      <c r="BS299" s="10">
        <v>42</v>
      </c>
    </row>
    <row r="300" spans="1:71" x14ac:dyDescent="0.55000000000000004">
      <c r="A300" s="10">
        <v>703</v>
      </c>
      <c r="B300" s="10">
        <v>2022</v>
      </c>
      <c r="C300" s="10">
        <v>5865</v>
      </c>
      <c r="D300" s="10">
        <v>70582</v>
      </c>
      <c r="E300" s="10">
        <v>13439</v>
      </c>
      <c r="F300" s="10">
        <v>12996</v>
      </c>
      <c r="G300" s="10">
        <v>5700</v>
      </c>
      <c r="H300" s="10">
        <v>2971</v>
      </c>
      <c r="I300" s="10">
        <v>18690</v>
      </c>
      <c r="J300" s="10">
        <v>0</v>
      </c>
      <c r="K300" s="10">
        <v>0</v>
      </c>
      <c r="L300" s="10">
        <v>3805</v>
      </c>
      <c r="M300" s="10">
        <v>16465</v>
      </c>
      <c r="N300" s="10">
        <v>0</v>
      </c>
      <c r="O300" s="10">
        <v>6655</v>
      </c>
      <c r="P300" s="10">
        <v>5061</v>
      </c>
      <c r="Q300" s="10">
        <v>2088</v>
      </c>
      <c r="R300" s="10">
        <v>2031</v>
      </c>
      <c r="S300" s="10">
        <v>124587</v>
      </c>
      <c r="T300" s="10">
        <v>41761</v>
      </c>
      <c r="U300" s="10">
        <v>20.612617220801361</v>
      </c>
      <c r="V300" s="10">
        <v>17.96901476297073</v>
      </c>
      <c r="W300" s="10">
        <v>0</v>
      </c>
      <c r="X300" s="10">
        <v>15.895974402857355</v>
      </c>
      <c r="Y300" s="10">
        <v>25.284626038781166</v>
      </c>
      <c r="Z300" s="10">
        <v>16.157719298245613</v>
      </c>
      <c r="AA300" s="10">
        <v>22.535846516324469</v>
      </c>
      <c r="AB300" s="10">
        <v>27.89871589085072</v>
      </c>
      <c r="AC300" s="10">
        <v>0</v>
      </c>
      <c r="AD300" s="10">
        <v>0</v>
      </c>
      <c r="AE300" s="10">
        <v>22.089618922470432</v>
      </c>
      <c r="AF300" s="10">
        <v>28.963316125113874</v>
      </c>
      <c r="AG300" s="10">
        <v>0</v>
      </c>
      <c r="AH300" s="10">
        <v>23.715251690458299</v>
      </c>
      <c r="AI300" s="10">
        <v>34.195415925706385</v>
      </c>
      <c r="AJ300" s="10">
        <v>0</v>
      </c>
      <c r="AK300" s="10">
        <v>27.722701149425284</v>
      </c>
      <c r="AL300" s="10">
        <v>17.361890694239293</v>
      </c>
      <c r="AM300" s="10">
        <v>0</v>
      </c>
      <c r="AN300" s="10">
        <v>2</v>
      </c>
      <c r="AO300" s="10">
        <v>10</v>
      </c>
      <c r="AP300" s="10">
        <v>23</v>
      </c>
      <c r="AQ300" s="10">
        <v>4</v>
      </c>
      <c r="AR300" s="10">
        <v>3</v>
      </c>
      <c r="AS300" s="10">
        <v>1</v>
      </c>
      <c r="AT300" s="10">
        <v>7</v>
      </c>
      <c r="AU300" s="10">
        <v>4</v>
      </c>
      <c r="AV300" s="10">
        <v>0</v>
      </c>
      <c r="AW300" s="10">
        <v>2</v>
      </c>
      <c r="AX300" s="10">
        <v>6</v>
      </c>
      <c r="AY300" s="10">
        <v>0</v>
      </c>
      <c r="AZ300" s="10">
        <v>2</v>
      </c>
      <c r="BA300" s="10">
        <v>1</v>
      </c>
      <c r="BB300" s="10">
        <v>0</v>
      </c>
      <c r="BC300" s="10">
        <v>65</v>
      </c>
      <c r="BD300" s="10">
        <v>2</v>
      </c>
      <c r="BE300" s="10">
        <v>0</v>
      </c>
      <c r="BF300" s="10">
        <v>25</v>
      </c>
      <c r="BG300" s="10">
        <v>11</v>
      </c>
      <c r="BH300" s="10">
        <v>3</v>
      </c>
      <c r="BI300" s="10">
        <v>1</v>
      </c>
      <c r="BJ300" s="10">
        <v>6</v>
      </c>
      <c r="BK300" s="10">
        <v>1</v>
      </c>
      <c r="BL300" s="10">
        <v>0</v>
      </c>
      <c r="BM300" s="10">
        <v>1</v>
      </c>
      <c r="BN300" s="10">
        <v>0</v>
      </c>
      <c r="BO300" s="10">
        <v>0</v>
      </c>
      <c r="BP300" s="10">
        <v>1</v>
      </c>
      <c r="BQ300" s="10">
        <v>0</v>
      </c>
      <c r="BR300" s="10">
        <v>3</v>
      </c>
      <c r="BS300" s="10">
        <v>54</v>
      </c>
    </row>
    <row r="301" spans="1:71" x14ac:dyDescent="0.55000000000000004">
      <c r="A301" s="10">
        <v>987</v>
      </c>
      <c r="B301" s="10">
        <v>2022</v>
      </c>
      <c r="C301" s="10">
        <v>7390</v>
      </c>
      <c r="D301" s="10">
        <v>71031</v>
      </c>
      <c r="E301" s="10">
        <v>21549</v>
      </c>
      <c r="F301" s="10">
        <v>22259</v>
      </c>
      <c r="G301" s="10">
        <v>0</v>
      </c>
      <c r="H301" s="10">
        <v>0</v>
      </c>
      <c r="I301" s="10">
        <v>36021</v>
      </c>
      <c r="J301" s="10">
        <v>0</v>
      </c>
      <c r="K301" s="10">
        <v>1</v>
      </c>
      <c r="L301" s="10">
        <v>4417</v>
      </c>
      <c r="M301" s="10">
        <v>9848</v>
      </c>
      <c r="N301" s="10">
        <v>2382</v>
      </c>
      <c r="O301" s="10">
        <v>2478</v>
      </c>
      <c r="P301" s="10">
        <v>53466</v>
      </c>
      <c r="Q301" s="10">
        <v>6835</v>
      </c>
      <c r="R301" s="10">
        <v>4026</v>
      </c>
      <c r="S301" s="10">
        <v>195417</v>
      </c>
      <c r="T301" s="10">
        <v>46286</v>
      </c>
      <c r="U301" s="10">
        <v>19.048443843031123</v>
      </c>
      <c r="V301" s="10">
        <v>24.312835240951134</v>
      </c>
      <c r="W301" s="10">
        <v>35</v>
      </c>
      <c r="X301" s="10">
        <v>18.498863056290315</v>
      </c>
      <c r="Y301" s="10">
        <v>26.792308729053417</v>
      </c>
      <c r="Z301" s="10">
        <v>0</v>
      </c>
      <c r="AA301" s="10">
        <v>0</v>
      </c>
      <c r="AB301" s="10">
        <v>31.651619888398436</v>
      </c>
      <c r="AC301" s="10">
        <v>45</v>
      </c>
      <c r="AD301" s="10">
        <v>125</v>
      </c>
      <c r="AE301" s="10">
        <v>13.682137197192663</v>
      </c>
      <c r="AF301" s="10">
        <v>48.268379366368805</v>
      </c>
      <c r="AG301" s="10">
        <v>59.211167086481943</v>
      </c>
      <c r="AH301" s="10">
        <v>26.899919289749796</v>
      </c>
      <c r="AI301" s="10">
        <v>40.575281487300337</v>
      </c>
      <c r="AJ301" s="10">
        <v>54.862244897959187</v>
      </c>
      <c r="AK301" s="10">
        <v>19.177029992684712</v>
      </c>
      <c r="AL301" s="10">
        <v>19.217088922006955</v>
      </c>
      <c r="AM301" s="10">
        <v>0</v>
      </c>
      <c r="AN301" s="10">
        <v>2</v>
      </c>
      <c r="AO301" s="10">
        <v>6</v>
      </c>
      <c r="AP301" s="10">
        <v>26</v>
      </c>
      <c r="AQ301" s="10">
        <v>7</v>
      </c>
      <c r="AR301" s="10">
        <v>0</v>
      </c>
      <c r="AS301" s="10">
        <v>0</v>
      </c>
      <c r="AT301" s="10">
        <v>10</v>
      </c>
      <c r="AU301" s="10">
        <v>1</v>
      </c>
      <c r="AV301" s="10">
        <v>1</v>
      </c>
      <c r="AW301" s="10">
        <v>3</v>
      </c>
      <c r="AX301" s="10">
        <v>6</v>
      </c>
      <c r="AY301" s="10">
        <v>0</v>
      </c>
      <c r="AZ301" s="10">
        <v>18</v>
      </c>
      <c r="BA301" s="10">
        <v>3</v>
      </c>
      <c r="BB301" s="10">
        <v>0</v>
      </c>
      <c r="BC301" s="10">
        <v>83</v>
      </c>
      <c r="BD301" s="10">
        <v>3</v>
      </c>
      <c r="BE301" s="10">
        <v>3</v>
      </c>
      <c r="BF301" s="10">
        <v>7</v>
      </c>
      <c r="BG301" s="10">
        <v>10</v>
      </c>
      <c r="BH301" s="10">
        <v>0</v>
      </c>
      <c r="BI301" s="10">
        <v>0</v>
      </c>
      <c r="BJ301" s="10">
        <v>7</v>
      </c>
      <c r="BK301" s="10">
        <v>0</v>
      </c>
      <c r="BL301" s="10">
        <v>0</v>
      </c>
      <c r="BM301" s="10">
        <v>0</v>
      </c>
      <c r="BN301" s="10">
        <v>0</v>
      </c>
      <c r="BO301" s="10">
        <v>2</v>
      </c>
      <c r="BP301" s="10">
        <v>11</v>
      </c>
      <c r="BQ301" s="10">
        <v>0</v>
      </c>
      <c r="BR301" s="10">
        <v>0</v>
      </c>
      <c r="BS301" s="10">
        <v>43</v>
      </c>
    </row>
    <row r="302" spans="1:71" x14ac:dyDescent="0.55000000000000004">
      <c r="A302" s="10">
        <v>178</v>
      </c>
      <c r="B302" s="10">
        <v>2022</v>
      </c>
      <c r="C302" s="10">
        <v>7398</v>
      </c>
      <c r="D302" s="10">
        <v>72087</v>
      </c>
      <c r="E302" s="10">
        <v>30588</v>
      </c>
      <c r="F302" s="10">
        <v>13017</v>
      </c>
      <c r="G302" s="10">
        <v>7682</v>
      </c>
      <c r="H302" s="10">
        <v>5094</v>
      </c>
      <c r="I302" s="10">
        <v>39068</v>
      </c>
      <c r="J302" s="10">
        <v>0</v>
      </c>
      <c r="K302" s="10">
        <v>0</v>
      </c>
      <c r="L302" s="10">
        <v>7375</v>
      </c>
      <c r="M302" s="10">
        <v>10003</v>
      </c>
      <c r="N302" s="10">
        <v>2580</v>
      </c>
      <c r="O302" s="10">
        <v>7642</v>
      </c>
      <c r="P302" s="10">
        <v>20932</v>
      </c>
      <c r="Q302" s="10">
        <v>6371</v>
      </c>
      <c r="R302" s="10">
        <v>3804</v>
      </c>
      <c r="S302" s="10">
        <v>169618</v>
      </c>
      <c r="T302" s="10">
        <v>64023</v>
      </c>
      <c r="U302" s="10">
        <v>19.787510137875103</v>
      </c>
      <c r="V302" s="10">
        <v>24.245994423405055</v>
      </c>
      <c r="W302" s="10">
        <v>32.369193154034228</v>
      </c>
      <c r="X302" s="10">
        <v>17.714659343533413</v>
      </c>
      <c r="Y302" s="10">
        <v>31.324268264577089</v>
      </c>
      <c r="Z302" s="10">
        <v>20.137594376464463</v>
      </c>
      <c r="AA302" s="10">
        <v>18.844326658814293</v>
      </c>
      <c r="AB302" s="10">
        <v>29.846703184191668</v>
      </c>
      <c r="AC302" s="10">
        <v>9.9411764705882355</v>
      </c>
      <c r="AD302" s="10">
        <v>0</v>
      </c>
      <c r="AE302" s="10">
        <v>21.456542372881358</v>
      </c>
      <c r="AF302" s="10">
        <v>44.907727681695491</v>
      </c>
      <c r="AG302" s="10">
        <v>15.583333333333334</v>
      </c>
      <c r="AH302" s="10">
        <v>20.972651138445432</v>
      </c>
      <c r="AI302" s="10">
        <v>38.511704567169886</v>
      </c>
      <c r="AJ302" s="10">
        <v>42.655518394648823</v>
      </c>
      <c r="AK302" s="10">
        <v>30.348453931878826</v>
      </c>
      <c r="AL302" s="10">
        <v>24.673764458464774</v>
      </c>
      <c r="AM302" s="10">
        <v>0</v>
      </c>
      <c r="AN302" s="10">
        <v>3</v>
      </c>
      <c r="AO302" s="10">
        <v>5</v>
      </c>
      <c r="AP302" s="10">
        <v>19</v>
      </c>
      <c r="AQ302" s="10">
        <v>9</v>
      </c>
      <c r="AR302" s="10">
        <v>6</v>
      </c>
      <c r="AS302" s="10">
        <v>0</v>
      </c>
      <c r="AT302" s="10">
        <v>14</v>
      </c>
      <c r="AU302" s="10">
        <v>3</v>
      </c>
      <c r="AV302" s="10">
        <v>0</v>
      </c>
      <c r="AW302" s="10">
        <v>3</v>
      </c>
      <c r="AX302" s="10">
        <v>4</v>
      </c>
      <c r="AY302" s="10">
        <v>0</v>
      </c>
      <c r="AZ302" s="10">
        <v>7</v>
      </c>
      <c r="BA302" s="10">
        <v>3</v>
      </c>
      <c r="BB302" s="10">
        <v>0</v>
      </c>
      <c r="BC302" s="10">
        <v>76</v>
      </c>
      <c r="BD302" s="10">
        <v>2</v>
      </c>
      <c r="BE302" s="10">
        <v>1</v>
      </c>
      <c r="BF302" s="10">
        <v>25</v>
      </c>
      <c r="BG302" s="10">
        <v>9</v>
      </c>
      <c r="BH302" s="10">
        <v>0</v>
      </c>
      <c r="BI302" s="10">
        <v>0</v>
      </c>
      <c r="BJ302" s="10">
        <v>11</v>
      </c>
      <c r="BK302" s="10">
        <v>1</v>
      </c>
      <c r="BL302" s="10">
        <v>0</v>
      </c>
      <c r="BM302" s="10">
        <v>0</v>
      </c>
      <c r="BN302" s="10">
        <v>0</v>
      </c>
      <c r="BO302" s="10">
        <v>0</v>
      </c>
      <c r="BP302" s="10">
        <v>3</v>
      </c>
      <c r="BQ302" s="10">
        <v>0</v>
      </c>
      <c r="BR302" s="10">
        <v>0</v>
      </c>
      <c r="BS302" s="10">
        <v>52</v>
      </c>
    </row>
    <row r="303" spans="1:71" x14ac:dyDescent="0.55000000000000004">
      <c r="A303" s="10">
        <v>203</v>
      </c>
      <c r="B303" s="10">
        <v>2022</v>
      </c>
      <c r="C303" s="10">
        <v>5273</v>
      </c>
      <c r="D303" s="10">
        <v>72773</v>
      </c>
      <c r="E303" s="10">
        <v>18530</v>
      </c>
      <c r="F303" s="10">
        <v>3015</v>
      </c>
      <c r="G303" s="10">
        <v>1865</v>
      </c>
      <c r="H303" s="10">
        <v>6317</v>
      </c>
      <c r="I303" s="10">
        <v>14502</v>
      </c>
      <c r="J303" s="10">
        <v>0</v>
      </c>
      <c r="K303" s="10">
        <v>0</v>
      </c>
      <c r="L303" s="10">
        <v>8048</v>
      </c>
      <c r="M303" s="10">
        <v>15420</v>
      </c>
      <c r="N303" s="10">
        <v>1241</v>
      </c>
      <c r="O303" s="10">
        <v>4792</v>
      </c>
      <c r="P303" s="10">
        <v>25772</v>
      </c>
      <c r="Q303" s="10">
        <v>3273</v>
      </c>
      <c r="R303" s="10">
        <v>23638</v>
      </c>
      <c r="S303" s="10">
        <v>169940</v>
      </c>
      <c r="T303" s="10">
        <v>34519</v>
      </c>
      <c r="U303" s="10">
        <v>20.27915797458752</v>
      </c>
      <c r="V303" s="10">
        <v>17.035095433746033</v>
      </c>
      <c r="W303" s="10">
        <v>21.075373619233268</v>
      </c>
      <c r="X303" s="10">
        <v>16.101133297355638</v>
      </c>
      <c r="Y303" s="10">
        <v>43.020895522388059</v>
      </c>
      <c r="Z303" s="10">
        <v>12.384450402144772</v>
      </c>
      <c r="AA303" s="10">
        <v>13.349216400189963</v>
      </c>
      <c r="AB303" s="10">
        <v>24.686112260377879</v>
      </c>
      <c r="AC303" s="10">
        <v>29.909749034749034</v>
      </c>
      <c r="AD303" s="10">
        <v>0</v>
      </c>
      <c r="AE303" s="10">
        <v>17.546222664015904</v>
      </c>
      <c r="AF303" s="10">
        <v>40.071465629053179</v>
      </c>
      <c r="AG303" s="10">
        <v>19.612409347300563</v>
      </c>
      <c r="AH303" s="10">
        <v>25.758973288814694</v>
      </c>
      <c r="AI303" s="10">
        <v>32.976796523358686</v>
      </c>
      <c r="AJ303" s="10">
        <v>0</v>
      </c>
      <c r="AK303" s="10">
        <v>32.988389856400858</v>
      </c>
      <c r="AL303" s="10">
        <v>18.281495896437939</v>
      </c>
      <c r="AM303" s="10">
        <v>0</v>
      </c>
      <c r="AN303" s="10">
        <v>2</v>
      </c>
      <c r="AO303" s="10">
        <v>3</v>
      </c>
      <c r="AP303" s="10">
        <v>20</v>
      </c>
      <c r="AQ303" s="10">
        <v>5</v>
      </c>
      <c r="AR303" s="10">
        <v>0</v>
      </c>
      <c r="AS303" s="10">
        <v>3</v>
      </c>
      <c r="AT303" s="10">
        <v>6</v>
      </c>
      <c r="AU303" s="10">
        <v>1</v>
      </c>
      <c r="AV303" s="10">
        <v>0</v>
      </c>
      <c r="AW303" s="10">
        <v>2</v>
      </c>
      <c r="AX303" s="10">
        <v>6</v>
      </c>
      <c r="AY303" s="10">
        <v>1</v>
      </c>
      <c r="AZ303" s="10">
        <v>6</v>
      </c>
      <c r="BA303" s="10">
        <v>2</v>
      </c>
      <c r="BB303" s="10">
        <v>8</v>
      </c>
      <c r="BC303" s="10">
        <v>65</v>
      </c>
      <c r="BD303" s="10">
        <v>1</v>
      </c>
      <c r="BE303" s="10">
        <v>0</v>
      </c>
      <c r="BF303" s="10">
        <v>5</v>
      </c>
      <c r="BG303" s="10">
        <v>8</v>
      </c>
      <c r="BH303" s="10">
        <v>0</v>
      </c>
      <c r="BI303" s="10">
        <v>0</v>
      </c>
      <c r="BJ303" s="10">
        <v>1</v>
      </c>
      <c r="BK303" s="10">
        <v>2</v>
      </c>
      <c r="BL303" s="10">
        <v>0</v>
      </c>
      <c r="BM303" s="10">
        <v>0</v>
      </c>
      <c r="BN303" s="10">
        <v>0</v>
      </c>
      <c r="BO303" s="10">
        <v>0</v>
      </c>
      <c r="BP303" s="10">
        <v>1</v>
      </c>
      <c r="BQ303" s="10">
        <v>0</v>
      </c>
      <c r="BR303" s="10">
        <v>0</v>
      </c>
      <c r="BS303" s="10">
        <v>18</v>
      </c>
    </row>
    <row r="304" spans="1:71" x14ac:dyDescent="0.55000000000000004">
      <c r="A304" s="10">
        <v>265</v>
      </c>
      <c r="B304" s="10">
        <v>2022</v>
      </c>
      <c r="C304" s="10">
        <v>7093</v>
      </c>
      <c r="D304" s="10">
        <v>73814</v>
      </c>
      <c r="E304" s="10">
        <v>16727</v>
      </c>
      <c r="F304" s="10">
        <v>15028</v>
      </c>
      <c r="G304" s="10">
        <v>10015</v>
      </c>
      <c r="H304" s="10">
        <v>4967</v>
      </c>
      <c r="I304" s="10">
        <v>34470</v>
      </c>
      <c r="J304" s="10">
        <v>0</v>
      </c>
      <c r="K304" s="10">
        <v>0</v>
      </c>
      <c r="L304" s="10">
        <v>4348</v>
      </c>
      <c r="M304" s="10">
        <v>15579</v>
      </c>
      <c r="N304" s="10">
        <v>1604</v>
      </c>
      <c r="O304" s="10">
        <v>11357</v>
      </c>
      <c r="P304" s="10">
        <v>10855</v>
      </c>
      <c r="Q304" s="10">
        <v>6353</v>
      </c>
      <c r="R304" s="10">
        <v>42938</v>
      </c>
      <c r="S304" s="10">
        <v>197054</v>
      </c>
      <c r="T304" s="10">
        <v>58094</v>
      </c>
      <c r="U304" s="10">
        <v>13.173410404624278</v>
      </c>
      <c r="V304" s="10">
        <v>23.895209580838323</v>
      </c>
      <c r="W304" s="10">
        <v>44.467593259397951</v>
      </c>
      <c r="X304" s="10">
        <v>21.047647515992107</v>
      </c>
      <c r="Y304" s="10">
        <v>43.683457545914287</v>
      </c>
      <c r="Z304" s="10">
        <v>21.243934098851721</v>
      </c>
      <c r="AA304" s="10">
        <v>26.691564324541975</v>
      </c>
      <c r="AB304" s="10">
        <v>33.817000290107337</v>
      </c>
      <c r="AC304" s="10">
        <v>66.245563630218015</v>
      </c>
      <c r="AD304" s="10">
        <v>0</v>
      </c>
      <c r="AE304" s="10">
        <v>23.495630174793007</v>
      </c>
      <c r="AF304" s="10">
        <v>41.328326593491241</v>
      </c>
      <c r="AG304" s="10">
        <v>42.014962593516209</v>
      </c>
      <c r="AH304" s="10">
        <v>15.386985999823898</v>
      </c>
      <c r="AI304" s="10">
        <v>41.993182865039152</v>
      </c>
      <c r="AJ304" s="10">
        <v>76.228633955309832</v>
      </c>
      <c r="AK304" s="10">
        <v>26.573902093499132</v>
      </c>
      <c r="AL304" s="10">
        <v>24.843471982859004</v>
      </c>
      <c r="AM304" s="10">
        <v>52.731481481481481</v>
      </c>
      <c r="AN304" s="10">
        <v>4</v>
      </c>
      <c r="AO304" s="10">
        <v>5</v>
      </c>
      <c r="AP304" s="10">
        <v>23</v>
      </c>
      <c r="AQ304" s="10">
        <v>8</v>
      </c>
      <c r="AR304" s="10">
        <v>3</v>
      </c>
      <c r="AS304" s="10">
        <v>2</v>
      </c>
      <c r="AT304" s="10">
        <v>12</v>
      </c>
      <c r="AU304" s="10">
        <v>4</v>
      </c>
      <c r="AV304" s="10">
        <v>0</v>
      </c>
      <c r="AW304" s="10">
        <v>2</v>
      </c>
      <c r="AX304" s="10">
        <v>7</v>
      </c>
      <c r="AY304" s="10">
        <v>0</v>
      </c>
      <c r="AZ304" s="10">
        <v>5</v>
      </c>
      <c r="BA304" s="10">
        <v>2</v>
      </c>
      <c r="BB304" s="10">
        <v>15</v>
      </c>
      <c r="BC304" s="10">
        <v>92</v>
      </c>
      <c r="BD304" s="10">
        <v>2</v>
      </c>
      <c r="BE304" s="10">
        <v>2</v>
      </c>
      <c r="BF304" s="10">
        <v>7</v>
      </c>
      <c r="BG304" s="10">
        <v>7</v>
      </c>
      <c r="BH304" s="10">
        <v>4</v>
      </c>
      <c r="BI304" s="10">
        <v>0</v>
      </c>
      <c r="BJ304" s="10">
        <v>4</v>
      </c>
      <c r="BK304" s="10">
        <v>0</v>
      </c>
      <c r="BL304" s="10">
        <v>0</v>
      </c>
      <c r="BM304" s="10">
        <v>0</v>
      </c>
      <c r="BN304" s="10">
        <v>1</v>
      </c>
      <c r="BO304" s="10">
        <v>0</v>
      </c>
      <c r="BP304" s="10">
        <v>2</v>
      </c>
      <c r="BQ304" s="10">
        <v>0</v>
      </c>
      <c r="BR304" s="10">
        <v>8</v>
      </c>
      <c r="BS304" s="10">
        <v>37</v>
      </c>
    </row>
    <row r="305" spans="1:71" x14ac:dyDescent="0.55000000000000004">
      <c r="A305" s="10">
        <v>752</v>
      </c>
      <c r="B305" s="10">
        <v>2022</v>
      </c>
      <c r="C305" s="10">
        <v>8740</v>
      </c>
      <c r="D305" s="10">
        <v>75786</v>
      </c>
      <c r="E305" s="10">
        <v>1664</v>
      </c>
      <c r="F305" s="10">
        <v>13915</v>
      </c>
      <c r="G305" s="10">
        <v>20398</v>
      </c>
      <c r="H305" s="10">
        <v>2162</v>
      </c>
      <c r="I305" s="10">
        <v>20185</v>
      </c>
      <c r="J305" s="10">
        <v>136</v>
      </c>
      <c r="K305" s="10">
        <v>0</v>
      </c>
      <c r="L305" s="10">
        <v>7891</v>
      </c>
      <c r="M305" s="10">
        <v>8646</v>
      </c>
      <c r="N305" s="10">
        <v>8375</v>
      </c>
      <c r="O305" s="10">
        <v>3603</v>
      </c>
      <c r="P305" s="10">
        <v>32433</v>
      </c>
      <c r="Q305" s="10">
        <v>7457</v>
      </c>
      <c r="R305" s="10">
        <v>0</v>
      </c>
      <c r="S305" s="10">
        <v>169649</v>
      </c>
      <c r="T305" s="10">
        <v>41742</v>
      </c>
      <c r="U305" s="10">
        <v>24.390389016018307</v>
      </c>
      <c r="V305" s="10">
        <v>25.447391338769695</v>
      </c>
      <c r="W305" s="10">
        <v>33.661274182788524</v>
      </c>
      <c r="X305" s="10">
        <v>35.558894230769234</v>
      </c>
      <c r="Y305" s="10">
        <v>26.221128278835788</v>
      </c>
      <c r="Z305" s="10">
        <v>20.399156780076478</v>
      </c>
      <c r="AA305" s="10">
        <v>23.926456984273823</v>
      </c>
      <c r="AB305" s="10">
        <v>37.346742630666334</v>
      </c>
      <c r="AC305" s="10">
        <v>49.767427884615387</v>
      </c>
      <c r="AD305" s="10">
        <v>0</v>
      </c>
      <c r="AE305" s="10">
        <v>23.527816499809912</v>
      </c>
      <c r="AF305" s="10">
        <v>48.838075410594492</v>
      </c>
      <c r="AG305" s="10">
        <v>24.856000000000002</v>
      </c>
      <c r="AH305" s="10">
        <v>21.338884263114071</v>
      </c>
      <c r="AI305" s="10">
        <v>48.26830697129467</v>
      </c>
      <c r="AJ305" s="10">
        <v>61.700623700623701</v>
      </c>
      <c r="AK305" s="10">
        <v>33.0643690492155</v>
      </c>
      <c r="AL305" s="10">
        <v>0</v>
      </c>
      <c r="AM305" s="10">
        <v>32.723809523809521</v>
      </c>
      <c r="AN305" s="10">
        <v>5</v>
      </c>
      <c r="AO305" s="10">
        <v>5</v>
      </c>
      <c r="AP305" s="10">
        <v>31</v>
      </c>
      <c r="AQ305" s="10">
        <v>1</v>
      </c>
      <c r="AR305" s="10">
        <v>8</v>
      </c>
      <c r="AS305" s="10">
        <v>0</v>
      </c>
      <c r="AT305" s="10">
        <v>8</v>
      </c>
      <c r="AU305" s="10">
        <v>1</v>
      </c>
      <c r="AV305" s="10">
        <v>0</v>
      </c>
      <c r="AW305" s="10">
        <v>4</v>
      </c>
      <c r="AX305" s="10">
        <v>4</v>
      </c>
      <c r="AY305" s="10">
        <v>3</v>
      </c>
      <c r="AZ305" s="10">
        <v>12</v>
      </c>
      <c r="BA305" s="10">
        <v>4</v>
      </c>
      <c r="BB305" s="10">
        <v>0</v>
      </c>
      <c r="BC305" s="10">
        <v>86</v>
      </c>
      <c r="BD305" s="10">
        <v>0</v>
      </c>
      <c r="BE305" s="10">
        <v>3</v>
      </c>
      <c r="BF305" s="10">
        <v>10</v>
      </c>
      <c r="BG305" s="10">
        <v>0</v>
      </c>
      <c r="BH305" s="10">
        <v>6</v>
      </c>
      <c r="BI305" s="10">
        <v>0</v>
      </c>
      <c r="BJ305" s="10">
        <v>1</v>
      </c>
      <c r="BK305" s="10">
        <v>0</v>
      </c>
      <c r="BL305" s="10">
        <v>0</v>
      </c>
      <c r="BM305" s="10">
        <v>0</v>
      </c>
      <c r="BN305" s="10">
        <v>0</v>
      </c>
      <c r="BO305" s="10">
        <v>1</v>
      </c>
      <c r="BP305" s="10">
        <v>6</v>
      </c>
      <c r="BQ305" s="10">
        <v>0</v>
      </c>
      <c r="BR305" s="10">
        <v>0</v>
      </c>
      <c r="BS305" s="10">
        <v>27</v>
      </c>
    </row>
    <row r="306" spans="1:71" x14ac:dyDescent="0.55000000000000004">
      <c r="A306" s="10">
        <v>509</v>
      </c>
      <c r="B306" s="10">
        <v>2022</v>
      </c>
      <c r="C306" s="10">
        <v>10771</v>
      </c>
      <c r="D306" s="10">
        <v>77328</v>
      </c>
      <c r="E306" s="10">
        <v>24416</v>
      </c>
      <c r="F306" s="10">
        <v>12236</v>
      </c>
      <c r="G306" s="10">
        <v>10357</v>
      </c>
      <c r="H306" s="10">
        <v>9037</v>
      </c>
      <c r="I306" s="10">
        <v>25230</v>
      </c>
      <c r="J306" s="10">
        <v>0</v>
      </c>
      <c r="K306" s="10">
        <v>0</v>
      </c>
      <c r="L306" s="10">
        <v>7459</v>
      </c>
      <c r="M306" s="10">
        <v>19351</v>
      </c>
      <c r="N306" s="10">
        <v>3365</v>
      </c>
      <c r="O306" s="10">
        <v>3993</v>
      </c>
      <c r="P306" s="10">
        <v>15870</v>
      </c>
      <c r="Q306" s="10">
        <v>4744</v>
      </c>
      <c r="R306" s="10">
        <v>13307</v>
      </c>
      <c r="S306" s="10">
        <v>177425</v>
      </c>
      <c r="T306" s="10">
        <v>60039</v>
      </c>
      <c r="U306" s="10">
        <v>19.33850153189119</v>
      </c>
      <c r="V306" s="10">
        <v>22.288252638112972</v>
      </c>
      <c r="W306" s="10">
        <v>37.031609195402297</v>
      </c>
      <c r="X306" s="10">
        <v>16.800458715596331</v>
      </c>
      <c r="Y306" s="10">
        <v>29.396207911082051</v>
      </c>
      <c r="Z306" s="10">
        <v>14.678574876894853</v>
      </c>
      <c r="AA306" s="10">
        <v>16.399579506473387</v>
      </c>
      <c r="AB306" s="10">
        <v>28.734720570749104</v>
      </c>
      <c r="AC306" s="10">
        <v>56.503472222222221</v>
      </c>
      <c r="AD306" s="10">
        <v>0</v>
      </c>
      <c r="AE306" s="10">
        <v>21.906421772355543</v>
      </c>
      <c r="AF306" s="10">
        <v>35.946824453516612</v>
      </c>
      <c r="AG306" s="10">
        <v>17.193759286775631</v>
      </c>
      <c r="AH306" s="10">
        <v>22.632607062359128</v>
      </c>
      <c r="AI306" s="10">
        <v>39.090800252047892</v>
      </c>
      <c r="AJ306" s="10">
        <v>65.336009882643609</v>
      </c>
      <c r="AK306" s="10">
        <v>23.53435919055649</v>
      </c>
      <c r="AL306" s="10">
        <v>24.886225294957541</v>
      </c>
      <c r="AM306" s="10">
        <v>0</v>
      </c>
      <c r="AN306" s="10">
        <v>6</v>
      </c>
      <c r="AO306" s="10">
        <v>7</v>
      </c>
      <c r="AP306" s="10">
        <v>28</v>
      </c>
      <c r="AQ306" s="10">
        <v>14</v>
      </c>
      <c r="AR306" s="10">
        <v>5</v>
      </c>
      <c r="AS306" s="10">
        <v>3</v>
      </c>
      <c r="AT306" s="10">
        <v>12</v>
      </c>
      <c r="AU306" s="10">
        <v>1</v>
      </c>
      <c r="AV306" s="10">
        <v>0</v>
      </c>
      <c r="AW306" s="10">
        <v>3</v>
      </c>
      <c r="AX306" s="10">
        <v>9</v>
      </c>
      <c r="AY306" s="10">
        <v>1</v>
      </c>
      <c r="AZ306" s="10">
        <v>7</v>
      </c>
      <c r="BA306" s="10">
        <v>2</v>
      </c>
      <c r="BB306" s="10">
        <v>4</v>
      </c>
      <c r="BC306" s="10">
        <v>102</v>
      </c>
      <c r="BD306" s="10">
        <v>1</v>
      </c>
      <c r="BE306" s="10">
        <v>1</v>
      </c>
      <c r="BF306" s="10">
        <v>21</v>
      </c>
      <c r="BG306" s="10">
        <v>16</v>
      </c>
      <c r="BH306" s="10">
        <v>1</v>
      </c>
      <c r="BI306" s="10">
        <v>2</v>
      </c>
      <c r="BJ306" s="10">
        <v>1</v>
      </c>
      <c r="BK306" s="10">
        <v>0</v>
      </c>
      <c r="BL306" s="10">
        <v>0</v>
      </c>
      <c r="BM306" s="10">
        <v>0</v>
      </c>
      <c r="BN306" s="10">
        <v>0</v>
      </c>
      <c r="BO306" s="10">
        <v>0</v>
      </c>
      <c r="BP306" s="10">
        <v>3</v>
      </c>
      <c r="BQ306" s="10">
        <v>0</v>
      </c>
      <c r="BR306" s="10">
        <v>0</v>
      </c>
      <c r="BS306" s="10">
        <v>46</v>
      </c>
    </row>
    <row r="307" spans="1:71" x14ac:dyDescent="0.55000000000000004">
      <c r="A307" s="10">
        <v>836</v>
      </c>
      <c r="B307" s="10">
        <v>2022</v>
      </c>
      <c r="C307" s="10">
        <v>11616</v>
      </c>
      <c r="D307" s="10">
        <v>78642</v>
      </c>
      <c r="E307" s="10">
        <v>28038</v>
      </c>
      <c r="F307" s="10">
        <v>19971</v>
      </c>
      <c r="G307" s="10">
        <v>12255</v>
      </c>
      <c r="H307" s="10">
        <v>3636</v>
      </c>
      <c r="I307" s="10">
        <v>18560</v>
      </c>
      <c r="J307" s="10">
        <v>0</v>
      </c>
      <c r="K307" s="10">
        <v>0</v>
      </c>
      <c r="L307" s="10">
        <v>8864</v>
      </c>
      <c r="M307" s="10">
        <v>6335</v>
      </c>
      <c r="N307" s="10">
        <v>0</v>
      </c>
      <c r="O307" s="10">
        <v>3963</v>
      </c>
      <c r="P307" s="10">
        <v>22977</v>
      </c>
      <c r="Q307" s="10">
        <v>2088</v>
      </c>
      <c r="R307" s="10">
        <v>23675</v>
      </c>
      <c r="S307" s="10">
        <v>172757</v>
      </c>
      <c r="T307" s="10">
        <v>67863</v>
      </c>
      <c r="U307" s="10">
        <v>18.742079889807162</v>
      </c>
      <c r="V307" s="10">
        <v>23.310266778566163</v>
      </c>
      <c r="W307" s="10">
        <v>33.828927335640138</v>
      </c>
      <c r="X307" s="10">
        <v>18.509308795206504</v>
      </c>
      <c r="Y307" s="10">
        <v>28.660407591006958</v>
      </c>
      <c r="Z307" s="10">
        <v>16.526805385556916</v>
      </c>
      <c r="AA307" s="10">
        <v>18.573707370737072</v>
      </c>
      <c r="AB307" s="10">
        <v>31.831357758620687</v>
      </c>
      <c r="AC307" s="10">
        <v>50.855285961871743</v>
      </c>
      <c r="AD307" s="10">
        <v>0</v>
      </c>
      <c r="AE307" s="10">
        <v>22.778768050541519</v>
      </c>
      <c r="AF307" s="10">
        <v>39.062825572217839</v>
      </c>
      <c r="AG307" s="10">
        <v>0</v>
      </c>
      <c r="AH307" s="10">
        <v>24.971990915972746</v>
      </c>
      <c r="AI307" s="10">
        <v>41.604735169952562</v>
      </c>
      <c r="AJ307" s="10">
        <v>61.083333333333336</v>
      </c>
      <c r="AK307" s="10">
        <v>29.082375478927201</v>
      </c>
      <c r="AL307" s="10">
        <v>24.507328405491023</v>
      </c>
      <c r="AM307" s="10">
        <v>0</v>
      </c>
      <c r="AN307" s="10">
        <v>0</v>
      </c>
      <c r="AO307" s="10">
        <v>8</v>
      </c>
      <c r="AP307" s="10">
        <v>31</v>
      </c>
      <c r="AQ307" s="10">
        <v>14</v>
      </c>
      <c r="AR307" s="10">
        <v>4</v>
      </c>
      <c r="AS307" s="10">
        <v>2</v>
      </c>
      <c r="AT307" s="10">
        <v>5</v>
      </c>
      <c r="AU307" s="10">
        <v>2</v>
      </c>
      <c r="AV307" s="10">
        <v>0</v>
      </c>
      <c r="AW307" s="10">
        <v>2</v>
      </c>
      <c r="AX307" s="10">
        <v>9</v>
      </c>
      <c r="AY307" s="10">
        <v>0</v>
      </c>
      <c r="AZ307" s="10">
        <v>6</v>
      </c>
      <c r="BA307" s="10">
        <v>2</v>
      </c>
      <c r="BB307" s="10">
        <v>10</v>
      </c>
      <c r="BC307" s="10">
        <v>95</v>
      </c>
      <c r="BD307" s="10">
        <v>0</v>
      </c>
      <c r="BE307" s="10">
        <v>0</v>
      </c>
      <c r="BF307" s="10">
        <v>15</v>
      </c>
      <c r="BG307" s="10">
        <v>21</v>
      </c>
      <c r="BH307" s="10">
        <v>4</v>
      </c>
      <c r="BI307" s="10">
        <v>0</v>
      </c>
      <c r="BJ307" s="10">
        <v>5</v>
      </c>
      <c r="BK307" s="10">
        <v>0</v>
      </c>
      <c r="BL307" s="10">
        <v>0</v>
      </c>
      <c r="BM307" s="10">
        <v>0</v>
      </c>
      <c r="BN307" s="10">
        <v>1</v>
      </c>
      <c r="BO307" s="10">
        <v>0</v>
      </c>
      <c r="BP307" s="10">
        <v>2</v>
      </c>
      <c r="BQ307" s="10">
        <v>0</v>
      </c>
      <c r="BR307" s="10">
        <v>3</v>
      </c>
      <c r="BS307" s="10">
        <v>51</v>
      </c>
    </row>
    <row r="308" spans="1:71" x14ac:dyDescent="0.55000000000000004">
      <c r="A308" s="10">
        <v>716</v>
      </c>
      <c r="B308" s="10">
        <v>2022</v>
      </c>
      <c r="C308" s="10">
        <v>10823</v>
      </c>
      <c r="D308" s="10">
        <v>79068</v>
      </c>
      <c r="E308" s="10">
        <v>26772</v>
      </c>
      <c r="F308" s="10">
        <v>17050</v>
      </c>
      <c r="G308" s="10">
        <v>16015</v>
      </c>
      <c r="H308" s="10">
        <v>0</v>
      </c>
      <c r="I308" s="10">
        <v>32776</v>
      </c>
      <c r="J308" s="10">
        <v>0</v>
      </c>
      <c r="K308" s="10">
        <v>0</v>
      </c>
      <c r="L308" s="10">
        <v>7289</v>
      </c>
      <c r="M308" s="10">
        <v>10730</v>
      </c>
      <c r="N308" s="10">
        <v>1912</v>
      </c>
      <c r="O308" s="10">
        <v>8336</v>
      </c>
      <c r="P308" s="10">
        <v>22898</v>
      </c>
      <c r="Q308" s="10">
        <v>7800</v>
      </c>
      <c r="R308" s="10">
        <v>6235</v>
      </c>
      <c r="S308" s="10">
        <v>179531</v>
      </c>
      <c r="T308" s="10">
        <v>68173</v>
      </c>
      <c r="U308" s="10">
        <v>20.667005451353599</v>
      </c>
      <c r="V308" s="10">
        <v>21.650149238630039</v>
      </c>
      <c r="W308" s="10">
        <v>34.091904218928164</v>
      </c>
      <c r="X308" s="10">
        <v>21.667525773195877</v>
      </c>
      <c r="Y308" s="10">
        <v>25.380293255131964</v>
      </c>
      <c r="Z308" s="10">
        <v>21.856946612550733</v>
      </c>
      <c r="AA308" s="10">
        <v>0</v>
      </c>
      <c r="AB308" s="10">
        <v>29.678575787161336</v>
      </c>
      <c r="AC308" s="10">
        <v>50.614744351961953</v>
      </c>
      <c r="AD308" s="10">
        <v>0</v>
      </c>
      <c r="AE308" s="10">
        <v>22.77459185073398</v>
      </c>
      <c r="AF308" s="10">
        <v>36.50997204100652</v>
      </c>
      <c r="AG308" s="10">
        <v>28.643305439330547</v>
      </c>
      <c r="AH308" s="10">
        <v>21.753598848368522</v>
      </c>
      <c r="AI308" s="10">
        <v>39.448205083413399</v>
      </c>
      <c r="AJ308" s="10">
        <v>58.058823529411768</v>
      </c>
      <c r="AK308" s="10">
        <v>25.478974358974362</v>
      </c>
      <c r="AL308" s="10">
        <v>27.153327987169206</v>
      </c>
      <c r="AM308" s="10">
        <v>36.688311688311686</v>
      </c>
      <c r="AN308" s="10">
        <v>4</v>
      </c>
      <c r="AO308" s="10">
        <v>6</v>
      </c>
      <c r="AP308" s="10">
        <v>21</v>
      </c>
      <c r="AQ308" s="10">
        <v>9</v>
      </c>
      <c r="AR308" s="10">
        <v>6</v>
      </c>
      <c r="AS308" s="10">
        <v>0</v>
      </c>
      <c r="AT308" s="10">
        <v>12</v>
      </c>
      <c r="AU308" s="10">
        <v>3</v>
      </c>
      <c r="AV308" s="10">
        <v>0</v>
      </c>
      <c r="AW308" s="10">
        <v>2</v>
      </c>
      <c r="AX308" s="10">
        <v>5</v>
      </c>
      <c r="AY308" s="10">
        <v>1</v>
      </c>
      <c r="AZ308" s="10">
        <v>6</v>
      </c>
      <c r="BA308" s="10">
        <v>4</v>
      </c>
      <c r="BB308" s="10">
        <v>3</v>
      </c>
      <c r="BC308" s="10">
        <v>82</v>
      </c>
      <c r="BD308" s="10">
        <v>2</v>
      </c>
      <c r="BE308" s="10">
        <v>3</v>
      </c>
      <c r="BF308" s="10">
        <v>4</v>
      </c>
      <c r="BG308" s="10">
        <v>4</v>
      </c>
      <c r="BH308" s="10">
        <v>5</v>
      </c>
      <c r="BI308" s="10">
        <v>0</v>
      </c>
      <c r="BJ308" s="10">
        <v>1</v>
      </c>
      <c r="BK308" s="10">
        <v>0</v>
      </c>
      <c r="BL308" s="10">
        <v>0</v>
      </c>
      <c r="BM308" s="10">
        <v>0</v>
      </c>
      <c r="BN308" s="10">
        <v>0</v>
      </c>
      <c r="BO308" s="10">
        <v>0</v>
      </c>
      <c r="BP308" s="10">
        <v>0</v>
      </c>
      <c r="BQ308" s="10">
        <v>0</v>
      </c>
      <c r="BR308" s="10">
        <v>0</v>
      </c>
      <c r="BS308" s="10">
        <v>19</v>
      </c>
    </row>
    <row r="309" spans="1:71" x14ac:dyDescent="0.55000000000000004">
      <c r="A309" s="10">
        <v>642</v>
      </c>
      <c r="B309" s="10">
        <v>2022</v>
      </c>
      <c r="C309" s="10">
        <v>23790</v>
      </c>
      <c r="D309" s="10">
        <v>79269</v>
      </c>
      <c r="E309" s="10">
        <v>28325</v>
      </c>
      <c r="F309" s="10">
        <v>9188</v>
      </c>
      <c r="G309" s="10">
        <v>15013</v>
      </c>
      <c r="H309" s="10">
        <v>2182</v>
      </c>
      <c r="I309" s="10">
        <v>22232</v>
      </c>
      <c r="J309" s="10">
        <v>0</v>
      </c>
      <c r="K309" s="10">
        <v>0</v>
      </c>
      <c r="L309" s="10">
        <v>11813</v>
      </c>
      <c r="M309" s="10">
        <v>12675</v>
      </c>
      <c r="N309" s="10">
        <v>1728</v>
      </c>
      <c r="O309" s="10">
        <v>2160</v>
      </c>
      <c r="P309" s="10">
        <v>21284</v>
      </c>
      <c r="Q309" s="10">
        <v>4452</v>
      </c>
      <c r="R309" s="10">
        <v>0</v>
      </c>
      <c r="S309" s="10">
        <v>177243</v>
      </c>
      <c r="T309" s="10">
        <v>56868</v>
      </c>
      <c r="U309" s="10">
        <v>19.629087852038673</v>
      </c>
      <c r="V309" s="10">
        <v>24.387427619876625</v>
      </c>
      <c r="W309" s="10">
        <v>0</v>
      </c>
      <c r="X309" s="10">
        <v>18.76702559576346</v>
      </c>
      <c r="Y309" s="10">
        <v>42.72703526338703</v>
      </c>
      <c r="Z309" s="10">
        <v>17.819090121894359</v>
      </c>
      <c r="AA309" s="10">
        <v>18.815765352887258</v>
      </c>
      <c r="AB309" s="10">
        <v>29.21122706009356</v>
      </c>
      <c r="AC309" s="10">
        <v>0</v>
      </c>
      <c r="AD309" s="10">
        <v>0</v>
      </c>
      <c r="AE309" s="10">
        <v>20.193177008380598</v>
      </c>
      <c r="AF309" s="10">
        <v>42.742090729783037</v>
      </c>
      <c r="AG309" s="10">
        <v>29.127893518518515</v>
      </c>
      <c r="AH309" s="10">
        <v>28.401851851851848</v>
      </c>
      <c r="AI309" s="10">
        <v>34.347679007705317</v>
      </c>
      <c r="AJ309" s="10">
        <v>0</v>
      </c>
      <c r="AK309" s="10">
        <v>27.109389038634323</v>
      </c>
      <c r="AL309" s="10">
        <v>0</v>
      </c>
      <c r="AM309" s="10">
        <v>0</v>
      </c>
      <c r="AN309" s="10">
        <v>8</v>
      </c>
      <c r="AO309" s="10">
        <v>5</v>
      </c>
      <c r="AP309" s="10">
        <v>26</v>
      </c>
      <c r="AQ309" s="10">
        <v>8</v>
      </c>
      <c r="AR309" s="10">
        <v>5</v>
      </c>
      <c r="AS309" s="10">
        <v>1</v>
      </c>
      <c r="AT309" s="10">
        <v>9</v>
      </c>
      <c r="AU309" s="10">
        <v>1</v>
      </c>
      <c r="AV309" s="10">
        <v>0</v>
      </c>
      <c r="AW309" s="10">
        <v>0</v>
      </c>
      <c r="AX309" s="10">
        <v>6</v>
      </c>
      <c r="AY309" s="10">
        <v>1</v>
      </c>
      <c r="AZ309" s="10">
        <v>18</v>
      </c>
      <c r="BA309" s="10">
        <v>2</v>
      </c>
      <c r="BB309" s="10">
        <v>0</v>
      </c>
      <c r="BC309" s="10">
        <v>90</v>
      </c>
      <c r="BD309" s="10">
        <v>9</v>
      </c>
      <c r="BE309" s="10">
        <v>0</v>
      </c>
      <c r="BF309" s="10">
        <v>20</v>
      </c>
      <c r="BG309" s="10">
        <v>11</v>
      </c>
      <c r="BH309" s="10">
        <v>4</v>
      </c>
      <c r="BI309" s="10">
        <v>0</v>
      </c>
      <c r="BJ309" s="10">
        <v>3</v>
      </c>
      <c r="BK309" s="10">
        <v>0</v>
      </c>
      <c r="BL309" s="10">
        <v>0</v>
      </c>
      <c r="BM309" s="10">
        <v>0</v>
      </c>
      <c r="BN309" s="10">
        <v>2</v>
      </c>
      <c r="BO309" s="10">
        <v>0</v>
      </c>
      <c r="BP309" s="10">
        <v>0</v>
      </c>
      <c r="BQ309" s="10">
        <v>0</v>
      </c>
      <c r="BR309" s="10">
        <v>0</v>
      </c>
      <c r="BS309" s="10">
        <v>49</v>
      </c>
    </row>
    <row r="310" spans="1:71" x14ac:dyDescent="0.55000000000000004">
      <c r="A310" s="10">
        <v>459</v>
      </c>
      <c r="B310" s="10">
        <v>2022</v>
      </c>
      <c r="C310" s="10">
        <v>11051</v>
      </c>
      <c r="D310" s="10">
        <v>80953</v>
      </c>
      <c r="E310" s="10">
        <v>400613</v>
      </c>
      <c r="F310" s="10">
        <v>0</v>
      </c>
      <c r="G310" s="10">
        <v>34390</v>
      </c>
      <c r="H310" s="10">
        <v>54456</v>
      </c>
      <c r="I310" s="10">
        <v>11691</v>
      </c>
      <c r="J310" s="10">
        <v>0</v>
      </c>
      <c r="K310" s="10">
        <v>0</v>
      </c>
      <c r="L310" s="10">
        <v>2340</v>
      </c>
      <c r="M310" s="10">
        <v>7231</v>
      </c>
      <c r="N310" s="10">
        <v>2869</v>
      </c>
      <c r="O310" s="10">
        <v>0</v>
      </c>
      <c r="P310" s="10">
        <v>35328</v>
      </c>
      <c r="Q310" s="10">
        <v>3867</v>
      </c>
      <c r="R310" s="10">
        <v>1634</v>
      </c>
      <c r="S310" s="10">
        <v>156964</v>
      </c>
      <c r="T310" s="10">
        <v>489459</v>
      </c>
      <c r="U310" s="10">
        <v>18.607999276083614</v>
      </c>
      <c r="V310" s="10">
        <v>24.635986313045841</v>
      </c>
      <c r="W310" s="10">
        <v>33.969230769230769</v>
      </c>
      <c r="X310" s="10">
        <v>0</v>
      </c>
      <c r="Y310" s="10">
        <v>0</v>
      </c>
      <c r="Z310" s="10">
        <v>0</v>
      </c>
      <c r="AA310" s="10">
        <v>0</v>
      </c>
      <c r="AB310" s="10">
        <v>39.097938585236506</v>
      </c>
      <c r="AC310" s="10">
        <v>52.245421245421248</v>
      </c>
      <c r="AD310" s="10">
        <v>0</v>
      </c>
      <c r="AE310" s="10">
        <v>33.513247863247862</v>
      </c>
      <c r="AF310" s="10">
        <v>57.810123081178261</v>
      </c>
      <c r="AG310" s="10">
        <v>18.628441965841755</v>
      </c>
      <c r="AH310" s="10">
        <v>0</v>
      </c>
      <c r="AI310" s="10">
        <v>48.133265398550719</v>
      </c>
      <c r="AJ310" s="10">
        <v>67.884892086330936</v>
      </c>
      <c r="AK310" s="10">
        <v>31.901474010861133</v>
      </c>
      <c r="AL310" s="10">
        <v>20.187882496940023</v>
      </c>
      <c r="AM310" s="10">
        <v>0</v>
      </c>
      <c r="AN310" s="10">
        <v>4</v>
      </c>
      <c r="AO310" s="10">
        <v>1</v>
      </c>
      <c r="AP310" s="10">
        <v>15</v>
      </c>
      <c r="AQ310" s="10">
        <v>19</v>
      </c>
      <c r="AR310" s="10">
        <v>12</v>
      </c>
      <c r="AS310" s="10">
        <v>4</v>
      </c>
      <c r="AT310" s="10">
        <v>4</v>
      </c>
      <c r="AU310" s="10">
        <v>6</v>
      </c>
      <c r="AV310" s="10">
        <v>0</v>
      </c>
      <c r="AW310" s="10">
        <v>1</v>
      </c>
      <c r="AX310" s="10">
        <v>4</v>
      </c>
      <c r="AY310" s="10">
        <v>4</v>
      </c>
      <c r="AZ310" s="10">
        <v>10</v>
      </c>
      <c r="BA310" s="10">
        <v>2</v>
      </c>
      <c r="BB310" s="10">
        <v>0</v>
      </c>
      <c r="BC310" s="10">
        <v>86</v>
      </c>
      <c r="BD310" s="10">
        <v>4</v>
      </c>
      <c r="BE310" s="10">
        <v>0</v>
      </c>
      <c r="BF310" s="10">
        <v>38</v>
      </c>
      <c r="BG310" s="10">
        <v>17</v>
      </c>
      <c r="BH310" s="10">
        <v>12</v>
      </c>
      <c r="BI310" s="10">
        <v>0</v>
      </c>
      <c r="BJ310" s="10">
        <v>2</v>
      </c>
      <c r="BK310" s="10">
        <v>0</v>
      </c>
      <c r="BL310" s="10">
        <v>0</v>
      </c>
      <c r="BM310" s="10">
        <v>0</v>
      </c>
      <c r="BN310" s="10">
        <v>0</v>
      </c>
      <c r="BO310" s="10">
        <v>0</v>
      </c>
      <c r="BP310" s="10">
        <v>7</v>
      </c>
      <c r="BQ310" s="10">
        <v>0</v>
      </c>
      <c r="BR310" s="10">
        <v>0</v>
      </c>
      <c r="BS310" s="10">
        <v>80</v>
      </c>
    </row>
    <row r="311" spans="1:71" x14ac:dyDescent="0.55000000000000004">
      <c r="A311" s="10">
        <v>145</v>
      </c>
      <c r="B311" s="10">
        <v>2022</v>
      </c>
      <c r="C311" s="10">
        <v>6490</v>
      </c>
      <c r="D311" s="10">
        <v>81840</v>
      </c>
      <c r="E311" s="10">
        <v>29538</v>
      </c>
      <c r="F311" s="10">
        <v>12433</v>
      </c>
      <c r="G311" s="10">
        <v>14133</v>
      </c>
      <c r="H311" s="10">
        <v>5417</v>
      </c>
      <c r="I311" s="10">
        <v>30247</v>
      </c>
      <c r="J311" s="10">
        <v>0</v>
      </c>
      <c r="K311" s="10">
        <v>0</v>
      </c>
      <c r="L311" s="10">
        <v>8876</v>
      </c>
      <c r="M311" s="10">
        <v>8398</v>
      </c>
      <c r="N311" s="10">
        <v>2487</v>
      </c>
      <c r="O311" s="10">
        <v>3994</v>
      </c>
      <c r="P311" s="10">
        <v>35180</v>
      </c>
      <c r="Q311" s="10">
        <v>8192</v>
      </c>
      <c r="R311" s="10">
        <v>1715</v>
      </c>
      <c r="S311" s="10">
        <v>183425</v>
      </c>
      <c r="T311" s="10">
        <v>65515</v>
      </c>
      <c r="U311" s="10">
        <v>21.70261941448382</v>
      </c>
      <c r="V311" s="10">
        <v>26.224926686217007</v>
      </c>
      <c r="W311" s="10">
        <v>34.083333333333336</v>
      </c>
      <c r="X311" s="10">
        <v>20.668765657796737</v>
      </c>
      <c r="Y311" s="10">
        <v>30.151853937102871</v>
      </c>
      <c r="Z311" s="10">
        <v>21.759357532017262</v>
      </c>
      <c r="AA311" s="10">
        <v>18.691157467232788</v>
      </c>
      <c r="AB311" s="10">
        <v>33.736568915925545</v>
      </c>
      <c r="AC311" s="10">
        <v>50.625228519195609</v>
      </c>
      <c r="AD311" s="10">
        <v>0</v>
      </c>
      <c r="AE311" s="10">
        <v>25.310387561964848</v>
      </c>
      <c r="AF311" s="10">
        <v>53.015479876160988</v>
      </c>
      <c r="AG311" s="10">
        <v>27.303176517893043</v>
      </c>
      <c r="AH311" s="10">
        <v>31.467451176765149</v>
      </c>
      <c r="AI311" s="10">
        <v>41.458555997725988</v>
      </c>
      <c r="AJ311" s="10">
        <v>60.66824644549763</v>
      </c>
      <c r="AK311" s="10">
        <v>33.4139404296875</v>
      </c>
      <c r="AL311" s="10">
        <v>28.673469387755098</v>
      </c>
      <c r="AM311" s="10">
        <v>0</v>
      </c>
      <c r="AN311" s="10">
        <v>2</v>
      </c>
      <c r="AO311" s="10">
        <v>5</v>
      </c>
      <c r="AP311" s="10">
        <v>43</v>
      </c>
      <c r="AQ311" s="10">
        <v>17</v>
      </c>
      <c r="AR311" s="10">
        <v>6</v>
      </c>
      <c r="AS311" s="10">
        <v>3</v>
      </c>
      <c r="AT311" s="10">
        <v>10</v>
      </c>
      <c r="AU311" s="10">
        <v>2</v>
      </c>
      <c r="AV311" s="10">
        <v>0</v>
      </c>
      <c r="AW311" s="10">
        <v>3</v>
      </c>
      <c r="AX311" s="10">
        <v>5</v>
      </c>
      <c r="AY311" s="10">
        <v>1</v>
      </c>
      <c r="AZ311" s="10">
        <v>16</v>
      </c>
      <c r="BA311" s="10">
        <v>3</v>
      </c>
      <c r="BB311" s="10">
        <v>1</v>
      </c>
      <c r="BC311" s="10">
        <v>117</v>
      </c>
      <c r="BD311" s="10">
        <v>1</v>
      </c>
      <c r="BE311" s="10">
        <v>2</v>
      </c>
      <c r="BF311" s="10">
        <v>12</v>
      </c>
      <c r="BG311" s="10">
        <v>6</v>
      </c>
      <c r="BH311" s="10">
        <v>2</v>
      </c>
      <c r="BI311" s="10">
        <v>0</v>
      </c>
      <c r="BJ311" s="10">
        <v>13</v>
      </c>
      <c r="BK311" s="10">
        <v>0</v>
      </c>
      <c r="BL311" s="10">
        <v>0</v>
      </c>
      <c r="BM311" s="10">
        <v>0</v>
      </c>
      <c r="BN311" s="10">
        <v>0</v>
      </c>
      <c r="BO311" s="10">
        <v>0</v>
      </c>
      <c r="BP311" s="10">
        <v>4</v>
      </c>
      <c r="BQ311" s="10">
        <v>0</v>
      </c>
      <c r="BR311" s="10">
        <v>0</v>
      </c>
      <c r="BS311" s="10">
        <v>40</v>
      </c>
    </row>
    <row r="312" spans="1:71" x14ac:dyDescent="0.55000000000000004">
      <c r="A312" s="10">
        <v>540</v>
      </c>
      <c r="B312" s="10">
        <v>2022</v>
      </c>
      <c r="C312" s="10">
        <v>16820</v>
      </c>
      <c r="D312" s="10">
        <v>81934</v>
      </c>
      <c r="E312" s="10">
        <v>37835</v>
      </c>
      <c r="F312" s="10">
        <v>6293</v>
      </c>
      <c r="G312" s="10">
        <v>9228</v>
      </c>
      <c r="H312" s="10">
        <v>5484</v>
      </c>
      <c r="I312" s="10">
        <v>33324</v>
      </c>
      <c r="J312" s="10">
        <v>0</v>
      </c>
      <c r="K312" s="10">
        <v>0</v>
      </c>
      <c r="L312" s="10">
        <v>3602</v>
      </c>
      <c r="M312" s="10">
        <v>6314</v>
      </c>
      <c r="N312" s="10">
        <v>407</v>
      </c>
      <c r="O312" s="10">
        <v>0</v>
      </c>
      <c r="P312" s="10">
        <v>10808</v>
      </c>
      <c r="Q312" s="10">
        <v>1638</v>
      </c>
      <c r="R312" s="10">
        <v>0</v>
      </c>
      <c r="S312" s="10">
        <v>154847</v>
      </c>
      <c r="T312" s="10">
        <v>58840</v>
      </c>
      <c r="U312" s="10">
        <v>18.136860879904876</v>
      </c>
      <c r="V312" s="10">
        <v>24.666048282764173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36.441963749849954</v>
      </c>
      <c r="AC312" s="10">
        <v>0</v>
      </c>
      <c r="AD312" s="10">
        <v>0</v>
      </c>
      <c r="AE312" s="10">
        <v>21.403109383675734</v>
      </c>
      <c r="AF312" s="10">
        <v>50.211276528349693</v>
      </c>
      <c r="AG312" s="10">
        <v>24.206388206388205</v>
      </c>
      <c r="AH312" s="10">
        <v>0</v>
      </c>
      <c r="AI312" s="10">
        <v>39.222705403404888</v>
      </c>
      <c r="AJ312" s="10">
        <v>0</v>
      </c>
      <c r="AK312" s="10">
        <v>26.494505494505496</v>
      </c>
      <c r="AL312" s="10">
        <v>0</v>
      </c>
      <c r="AM312" s="10">
        <v>0</v>
      </c>
      <c r="AN312" s="10">
        <v>6</v>
      </c>
      <c r="AO312" s="10">
        <v>3</v>
      </c>
      <c r="AP312" s="10">
        <v>26</v>
      </c>
      <c r="AQ312" s="10">
        <v>23</v>
      </c>
      <c r="AR312" s="10">
        <v>8</v>
      </c>
      <c r="AS312" s="10">
        <v>3</v>
      </c>
      <c r="AT312" s="10">
        <v>12</v>
      </c>
      <c r="AU312" s="10">
        <v>0</v>
      </c>
      <c r="AV312" s="10">
        <v>0</v>
      </c>
      <c r="AW312" s="10">
        <v>3</v>
      </c>
      <c r="AX312" s="10">
        <v>3</v>
      </c>
      <c r="AY312" s="10">
        <v>0</v>
      </c>
      <c r="AZ312" s="10">
        <v>4</v>
      </c>
      <c r="BA312" s="10">
        <v>4</v>
      </c>
      <c r="BB312" s="10">
        <v>0</v>
      </c>
      <c r="BC312" s="10">
        <v>95</v>
      </c>
      <c r="BD312" s="10">
        <v>3</v>
      </c>
      <c r="BE312" s="10">
        <v>1</v>
      </c>
      <c r="BF312" s="10">
        <v>6</v>
      </c>
      <c r="BG312" s="10">
        <v>4</v>
      </c>
      <c r="BH312" s="10">
        <v>3</v>
      </c>
      <c r="BI312" s="10">
        <v>0</v>
      </c>
      <c r="BJ312" s="10">
        <v>5</v>
      </c>
      <c r="BK312" s="10">
        <v>0</v>
      </c>
      <c r="BL312" s="10">
        <v>0</v>
      </c>
      <c r="BM312" s="10">
        <v>0</v>
      </c>
      <c r="BN312" s="10">
        <v>0</v>
      </c>
      <c r="BO312" s="10">
        <v>1</v>
      </c>
      <c r="BP312" s="10">
        <v>0</v>
      </c>
      <c r="BQ312" s="10">
        <v>0</v>
      </c>
      <c r="BR312" s="10">
        <v>0</v>
      </c>
      <c r="BS312" s="10">
        <v>23</v>
      </c>
    </row>
    <row r="313" spans="1:71" x14ac:dyDescent="0.55000000000000004">
      <c r="A313" s="10">
        <v>122</v>
      </c>
      <c r="B313" s="10">
        <v>2022</v>
      </c>
      <c r="C313" s="10">
        <v>13571</v>
      </c>
      <c r="D313" s="10">
        <v>82238</v>
      </c>
      <c r="E313" s="10">
        <v>0</v>
      </c>
      <c r="F313" s="10">
        <v>11285</v>
      </c>
      <c r="G313" s="10">
        <v>0</v>
      </c>
      <c r="H313" s="10">
        <v>0</v>
      </c>
      <c r="I313" s="10">
        <v>24413</v>
      </c>
      <c r="J313" s="10">
        <v>0</v>
      </c>
      <c r="K313" s="10">
        <v>0</v>
      </c>
      <c r="L313" s="10">
        <v>6016</v>
      </c>
      <c r="M313" s="10">
        <v>10567</v>
      </c>
      <c r="N313" s="10">
        <v>1595</v>
      </c>
      <c r="O313" s="10">
        <v>6064</v>
      </c>
      <c r="P313" s="10">
        <v>20720</v>
      </c>
      <c r="Q313" s="10">
        <v>6487</v>
      </c>
      <c r="R313" s="10">
        <v>338</v>
      </c>
      <c r="S313" s="10">
        <v>165945</v>
      </c>
      <c r="T313" s="10">
        <v>17349</v>
      </c>
      <c r="U313" s="10">
        <v>28.019084813204625</v>
      </c>
      <c r="V313" s="10">
        <v>23.29052262944138</v>
      </c>
      <c r="W313" s="10">
        <v>34.098506562075727</v>
      </c>
      <c r="X313" s="10">
        <v>0</v>
      </c>
      <c r="Y313" s="10">
        <v>37.140806380150643</v>
      </c>
      <c r="Z313" s="10">
        <v>0</v>
      </c>
      <c r="AA313" s="10">
        <v>0</v>
      </c>
      <c r="AB313" s="10">
        <v>31.82640396510056</v>
      </c>
      <c r="AC313" s="10">
        <v>50.74234527687296</v>
      </c>
      <c r="AD313" s="10">
        <v>0</v>
      </c>
      <c r="AE313" s="10">
        <v>21.784906914893618</v>
      </c>
      <c r="AF313" s="10">
        <v>44.978801930538474</v>
      </c>
      <c r="AG313" s="10">
        <v>29.957993730407523</v>
      </c>
      <c r="AH313" s="10">
        <v>25.246207124010553</v>
      </c>
      <c r="AI313" s="10">
        <v>41.377606177606175</v>
      </c>
      <c r="AJ313" s="10">
        <v>62.367402245451025</v>
      </c>
      <c r="AK313" s="10">
        <v>27.283181748111605</v>
      </c>
      <c r="AL313" s="10">
        <v>19.094674556213018</v>
      </c>
      <c r="AM313" s="10">
        <v>0</v>
      </c>
      <c r="AN313" s="10">
        <v>6</v>
      </c>
      <c r="AO313" s="10">
        <v>7</v>
      </c>
      <c r="AP313" s="10">
        <v>27</v>
      </c>
      <c r="AQ313" s="10">
        <v>0</v>
      </c>
      <c r="AR313" s="10">
        <v>0</v>
      </c>
      <c r="AS313" s="10">
        <v>0</v>
      </c>
      <c r="AT313" s="10">
        <v>8</v>
      </c>
      <c r="AU313" s="10">
        <v>2</v>
      </c>
      <c r="AV313" s="10">
        <v>0</v>
      </c>
      <c r="AW313" s="10">
        <v>2</v>
      </c>
      <c r="AX313" s="10">
        <v>4</v>
      </c>
      <c r="AY313" s="10">
        <v>2</v>
      </c>
      <c r="AZ313" s="10">
        <v>4</v>
      </c>
      <c r="BA313" s="10">
        <v>3</v>
      </c>
      <c r="BB313" s="10">
        <v>0</v>
      </c>
      <c r="BC313" s="10">
        <v>65</v>
      </c>
      <c r="BD313" s="10">
        <v>6</v>
      </c>
      <c r="BE313" s="10">
        <v>3</v>
      </c>
      <c r="BF313" s="10">
        <v>28</v>
      </c>
      <c r="BG313" s="10">
        <v>0</v>
      </c>
      <c r="BH313" s="10">
        <v>0</v>
      </c>
      <c r="BI313" s="10">
        <v>0</v>
      </c>
      <c r="BJ313" s="10">
        <v>6</v>
      </c>
      <c r="BK313" s="10">
        <v>0</v>
      </c>
      <c r="BL313" s="10">
        <v>0</v>
      </c>
      <c r="BM313" s="10">
        <v>0</v>
      </c>
      <c r="BN313" s="10">
        <v>0</v>
      </c>
      <c r="BO313" s="10">
        <v>2</v>
      </c>
      <c r="BP313" s="10">
        <v>10</v>
      </c>
      <c r="BQ313" s="10">
        <v>0</v>
      </c>
      <c r="BR313" s="10">
        <v>0</v>
      </c>
      <c r="BS313" s="10">
        <v>55</v>
      </c>
    </row>
    <row r="314" spans="1:71" x14ac:dyDescent="0.55000000000000004">
      <c r="A314" s="10">
        <v>506</v>
      </c>
      <c r="B314" s="10">
        <v>2022</v>
      </c>
      <c r="C314" s="10">
        <v>9338</v>
      </c>
      <c r="D314" s="10">
        <v>84888</v>
      </c>
      <c r="E314" s="10">
        <v>27451</v>
      </c>
      <c r="F314" s="10">
        <v>14427</v>
      </c>
      <c r="G314" s="10">
        <v>14993</v>
      </c>
      <c r="H314" s="10">
        <v>5595</v>
      </c>
      <c r="I314" s="10">
        <v>39436</v>
      </c>
      <c r="J314" s="10">
        <v>0</v>
      </c>
      <c r="K314" s="10">
        <v>0</v>
      </c>
      <c r="L314" s="10">
        <v>7401</v>
      </c>
      <c r="M314" s="10">
        <v>11036</v>
      </c>
      <c r="N314" s="10">
        <v>0</v>
      </c>
      <c r="O314" s="10">
        <v>3858</v>
      </c>
      <c r="P314" s="10">
        <v>14926</v>
      </c>
      <c r="Q314" s="10">
        <v>4138</v>
      </c>
      <c r="R314" s="10">
        <v>5597</v>
      </c>
      <c r="S314" s="10">
        <v>176760</v>
      </c>
      <c r="T314" s="10">
        <v>66324</v>
      </c>
      <c r="U314" s="10">
        <v>21.953309059755838</v>
      </c>
      <c r="V314" s="10">
        <v>21.94651776458392</v>
      </c>
      <c r="W314" s="10">
        <v>208.14827586206894</v>
      </c>
      <c r="X314" s="10">
        <v>21.0440785399439</v>
      </c>
      <c r="Y314" s="10">
        <v>28.607610729881472</v>
      </c>
      <c r="Z314" s="10">
        <v>20.378176482358434</v>
      </c>
      <c r="AA314" s="10">
        <v>7.9789097408400353</v>
      </c>
      <c r="AB314" s="10">
        <v>30.423800588294959</v>
      </c>
      <c r="AC314" s="10">
        <v>238.29537366548041</v>
      </c>
      <c r="AD314" s="10">
        <v>0</v>
      </c>
      <c r="AE314" s="10">
        <v>29.291311984866908</v>
      </c>
      <c r="AF314" s="10">
        <v>38.829195360637911</v>
      </c>
      <c r="AG314" s="10">
        <v>0</v>
      </c>
      <c r="AH314" s="10">
        <v>28.090202177293936</v>
      </c>
      <c r="AI314" s="10">
        <v>36.542409218812807</v>
      </c>
      <c r="AJ314" s="10">
        <v>143.46511627906978</v>
      </c>
      <c r="AK314" s="10">
        <v>26.644272595456744</v>
      </c>
      <c r="AL314" s="10">
        <v>25.922994461318563</v>
      </c>
      <c r="AM314" s="10">
        <v>0</v>
      </c>
      <c r="AN314" s="10">
        <v>4</v>
      </c>
      <c r="AO314" s="10">
        <v>4</v>
      </c>
      <c r="AP314" s="10">
        <v>34</v>
      </c>
      <c r="AQ314" s="10">
        <v>8</v>
      </c>
      <c r="AR314" s="10">
        <v>9</v>
      </c>
      <c r="AS314" s="10">
        <v>2</v>
      </c>
      <c r="AT314" s="10">
        <v>11</v>
      </c>
      <c r="AU314" s="10">
        <v>2</v>
      </c>
      <c r="AV314" s="10">
        <v>0</v>
      </c>
      <c r="AW314" s="10">
        <v>4</v>
      </c>
      <c r="AX314" s="10">
        <v>4</v>
      </c>
      <c r="AY314" s="10">
        <v>1</v>
      </c>
      <c r="AZ314" s="10">
        <v>6</v>
      </c>
      <c r="BA314" s="10">
        <v>2</v>
      </c>
      <c r="BB314" s="10">
        <v>3</v>
      </c>
      <c r="BC314" s="10">
        <v>94</v>
      </c>
      <c r="BD314" s="10">
        <v>1</v>
      </c>
      <c r="BE314" s="10">
        <v>2</v>
      </c>
      <c r="BF314" s="10">
        <v>17</v>
      </c>
      <c r="BG314" s="10">
        <v>4</v>
      </c>
      <c r="BH314" s="10">
        <v>0</v>
      </c>
      <c r="BI314" s="10">
        <v>0</v>
      </c>
      <c r="BJ314" s="10">
        <v>6</v>
      </c>
      <c r="BK314" s="10">
        <v>0</v>
      </c>
      <c r="BL314" s="10">
        <v>0</v>
      </c>
      <c r="BM314" s="10">
        <v>0</v>
      </c>
      <c r="BN314" s="10">
        <v>0</v>
      </c>
      <c r="BO314" s="10">
        <v>0</v>
      </c>
      <c r="BP314" s="10">
        <v>2</v>
      </c>
      <c r="BQ314" s="10">
        <v>0</v>
      </c>
      <c r="BR314" s="10">
        <v>0</v>
      </c>
      <c r="BS314" s="10">
        <v>32</v>
      </c>
    </row>
    <row r="315" spans="1:71" x14ac:dyDescent="0.55000000000000004">
      <c r="A315" s="10">
        <v>912</v>
      </c>
      <c r="B315" s="10">
        <v>2022</v>
      </c>
      <c r="C315" s="10">
        <v>9970</v>
      </c>
      <c r="D315" s="10">
        <v>85409</v>
      </c>
      <c r="E315" s="10">
        <v>25863</v>
      </c>
      <c r="F315" s="10">
        <v>14018</v>
      </c>
      <c r="G315" s="10">
        <v>16099</v>
      </c>
      <c r="H315" s="10">
        <v>0</v>
      </c>
      <c r="I315" s="10">
        <v>28526</v>
      </c>
      <c r="J315" s="10">
        <v>609</v>
      </c>
      <c r="K315" s="10">
        <v>0</v>
      </c>
      <c r="L315" s="10">
        <v>11103</v>
      </c>
      <c r="M315" s="10">
        <v>16598</v>
      </c>
      <c r="N315" s="10">
        <v>1971</v>
      </c>
      <c r="O315" s="10">
        <v>8853</v>
      </c>
      <c r="P315" s="10">
        <v>42584</v>
      </c>
      <c r="Q315" s="10">
        <v>9059</v>
      </c>
      <c r="R315" s="10">
        <v>749</v>
      </c>
      <c r="S315" s="10">
        <v>206578</v>
      </c>
      <c r="T315" s="10">
        <v>64833</v>
      </c>
      <c r="U315" s="10">
        <v>23.654964894684053</v>
      </c>
      <c r="V315" s="10">
        <v>27.034574810617148</v>
      </c>
      <c r="W315" s="10">
        <v>33.360685302073939</v>
      </c>
      <c r="X315" s="10">
        <v>20.19765688435216</v>
      </c>
      <c r="Y315" s="10">
        <v>32.029890141246966</v>
      </c>
      <c r="Z315" s="10">
        <v>15.77377476861917</v>
      </c>
      <c r="AA315" s="10">
        <v>0</v>
      </c>
      <c r="AB315" s="10">
        <v>35.294468204445067</v>
      </c>
      <c r="AC315" s="10">
        <v>49.664682539682538</v>
      </c>
      <c r="AD315" s="10">
        <v>0</v>
      </c>
      <c r="AE315" s="10">
        <v>25.622894713140592</v>
      </c>
      <c r="AF315" s="10">
        <v>47.85871791782143</v>
      </c>
      <c r="AG315" s="10">
        <v>46.033992897006598</v>
      </c>
      <c r="AH315" s="10">
        <v>25.833163899243193</v>
      </c>
      <c r="AI315" s="10">
        <v>45.626385496900241</v>
      </c>
      <c r="AJ315" s="10">
        <v>59.133536585365853</v>
      </c>
      <c r="AK315" s="10">
        <v>30.964013688045036</v>
      </c>
      <c r="AL315" s="10">
        <v>35.527369826435248</v>
      </c>
      <c r="AM315" s="10">
        <v>0</v>
      </c>
      <c r="AN315" s="10">
        <v>4</v>
      </c>
      <c r="AO315" s="10">
        <v>7</v>
      </c>
      <c r="AP315" s="10">
        <v>34</v>
      </c>
      <c r="AQ315" s="10">
        <v>13</v>
      </c>
      <c r="AR315" s="10">
        <v>7</v>
      </c>
      <c r="AS315" s="10">
        <v>0</v>
      </c>
      <c r="AT315" s="10">
        <v>12</v>
      </c>
      <c r="AU315" s="10">
        <v>5</v>
      </c>
      <c r="AV315" s="10">
        <v>0</v>
      </c>
      <c r="AW315" s="10">
        <v>0</v>
      </c>
      <c r="AX315" s="10">
        <v>8</v>
      </c>
      <c r="AY315" s="10">
        <v>1</v>
      </c>
      <c r="AZ315" s="10">
        <v>21</v>
      </c>
      <c r="BA315" s="10">
        <v>3</v>
      </c>
      <c r="BB315" s="10">
        <v>1</v>
      </c>
      <c r="BC315" s="10">
        <v>116</v>
      </c>
      <c r="BD315" s="10">
        <v>2</v>
      </c>
      <c r="BE315" s="10">
        <v>6</v>
      </c>
      <c r="BF315" s="10">
        <v>7</v>
      </c>
      <c r="BG315" s="10">
        <v>16</v>
      </c>
      <c r="BH315" s="10">
        <v>1</v>
      </c>
      <c r="BI315" s="10">
        <v>0</v>
      </c>
      <c r="BJ315" s="10">
        <v>2</v>
      </c>
      <c r="BK315" s="10">
        <v>0</v>
      </c>
      <c r="BL315" s="10">
        <v>0</v>
      </c>
      <c r="BM315" s="10">
        <v>0</v>
      </c>
      <c r="BN315" s="10">
        <v>0</v>
      </c>
      <c r="BO315" s="10">
        <v>0</v>
      </c>
      <c r="BP315" s="10">
        <v>5</v>
      </c>
      <c r="BQ315" s="10">
        <v>2</v>
      </c>
      <c r="BR315" s="10">
        <v>0</v>
      </c>
      <c r="BS315" s="10">
        <v>41</v>
      </c>
    </row>
    <row r="316" spans="1:71" x14ac:dyDescent="0.55000000000000004">
      <c r="A316" s="10">
        <v>366</v>
      </c>
      <c r="B316" s="10">
        <v>2022</v>
      </c>
      <c r="C316" s="10">
        <v>15916</v>
      </c>
      <c r="D316" s="10">
        <v>86415</v>
      </c>
      <c r="E316" s="10">
        <v>36413</v>
      </c>
      <c r="F316" s="10">
        <v>11681</v>
      </c>
      <c r="G316" s="10">
        <v>8768</v>
      </c>
      <c r="H316" s="10">
        <v>5895</v>
      </c>
      <c r="I316" s="10">
        <v>17231</v>
      </c>
      <c r="J316" s="10">
        <v>553</v>
      </c>
      <c r="K316" s="10">
        <v>0</v>
      </c>
      <c r="L316" s="10">
        <v>10314</v>
      </c>
      <c r="M316" s="10">
        <v>11035</v>
      </c>
      <c r="N316" s="10">
        <v>2088</v>
      </c>
      <c r="O316" s="10">
        <v>9733</v>
      </c>
      <c r="P316" s="10">
        <v>41593</v>
      </c>
      <c r="Q316" s="10">
        <v>3777</v>
      </c>
      <c r="R316" s="10">
        <v>2136</v>
      </c>
      <c r="S316" s="10">
        <v>191058</v>
      </c>
      <c r="T316" s="10">
        <v>72490</v>
      </c>
      <c r="U316" s="10">
        <v>19.750125659713497</v>
      </c>
      <c r="V316" s="10">
        <v>24.428316843140657</v>
      </c>
      <c r="W316" s="10">
        <v>35.52959677419355</v>
      </c>
      <c r="X316" s="10">
        <v>20.217147721967432</v>
      </c>
      <c r="Y316" s="10">
        <v>29.780412635904462</v>
      </c>
      <c r="Z316" s="10">
        <v>20.107892335766422</v>
      </c>
      <c r="AA316" s="10">
        <v>18.340458015267178</v>
      </c>
      <c r="AB316" s="10">
        <v>31.833555800591956</v>
      </c>
      <c r="AC316" s="10">
        <v>50.458333333333336</v>
      </c>
      <c r="AD316" s="10">
        <v>0</v>
      </c>
      <c r="AE316" s="10">
        <v>0</v>
      </c>
      <c r="AF316" s="10">
        <v>48.02836429542365</v>
      </c>
      <c r="AG316" s="10">
        <v>39.639846743295024</v>
      </c>
      <c r="AH316" s="10">
        <v>24.994349121545259</v>
      </c>
      <c r="AI316" s="10">
        <v>38.621066044767147</v>
      </c>
      <c r="AJ316" s="10">
        <v>62.963137254901959</v>
      </c>
      <c r="AK316" s="10">
        <v>31.705056923484246</v>
      </c>
      <c r="AL316" s="10">
        <v>27.57818352059925</v>
      </c>
      <c r="AM316" s="10">
        <v>0</v>
      </c>
      <c r="AN316" s="10">
        <v>9</v>
      </c>
      <c r="AO316" s="10">
        <v>5</v>
      </c>
      <c r="AP316" s="10">
        <v>26</v>
      </c>
      <c r="AQ316" s="10">
        <v>12</v>
      </c>
      <c r="AR316" s="10">
        <v>4</v>
      </c>
      <c r="AS316" s="10">
        <v>3</v>
      </c>
      <c r="AT316" s="10">
        <v>7</v>
      </c>
      <c r="AU316" s="10">
        <v>4</v>
      </c>
      <c r="AV316" s="10">
        <v>0</v>
      </c>
      <c r="AW316" s="10">
        <v>1</v>
      </c>
      <c r="AX316" s="10">
        <v>5</v>
      </c>
      <c r="AY316" s="10">
        <v>1</v>
      </c>
      <c r="AZ316" s="10">
        <v>12</v>
      </c>
      <c r="BA316" s="10">
        <v>2</v>
      </c>
      <c r="BB316" s="10">
        <v>1</v>
      </c>
      <c r="BC316" s="10">
        <v>92</v>
      </c>
      <c r="BD316" s="10">
        <v>0</v>
      </c>
      <c r="BE316" s="10">
        <v>3</v>
      </c>
      <c r="BF316" s="10">
        <v>19</v>
      </c>
      <c r="BG316" s="10">
        <v>16</v>
      </c>
      <c r="BH316" s="10">
        <v>1</v>
      </c>
      <c r="BI316" s="10">
        <v>1</v>
      </c>
      <c r="BJ316" s="10">
        <v>5</v>
      </c>
      <c r="BK316" s="10">
        <v>1</v>
      </c>
      <c r="BL316" s="10">
        <v>0</v>
      </c>
      <c r="BM316" s="10">
        <v>1</v>
      </c>
      <c r="BN316" s="10">
        <v>2</v>
      </c>
      <c r="BO316" s="10">
        <v>0</v>
      </c>
      <c r="BP316" s="10">
        <v>2</v>
      </c>
      <c r="BQ316" s="10">
        <v>0</v>
      </c>
      <c r="BR316" s="10">
        <v>0</v>
      </c>
      <c r="BS316" s="10">
        <v>51</v>
      </c>
    </row>
    <row r="317" spans="1:71" x14ac:dyDescent="0.55000000000000004">
      <c r="A317" s="10">
        <v>646</v>
      </c>
      <c r="B317" s="10">
        <v>2022</v>
      </c>
      <c r="C317" s="10">
        <v>11926</v>
      </c>
      <c r="D317" s="10">
        <v>88445</v>
      </c>
      <c r="E317" s="10">
        <v>43435</v>
      </c>
      <c r="F317" s="10">
        <v>11922</v>
      </c>
      <c r="G317" s="10">
        <v>8505</v>
      </c>
      <c r="H317" s="10">
        <v>1342</v>
      </c>
      <c r="I317" s="10">
        <v>3694</v>
      </c>
      <c r="J317" s="10">
        <v>0</v>
      </c>
      <c r="K317" s="10">
        <v>0</v>
      </c>
      <c r="L317" s="10">
        <v>9569</v>
      </c>
      <c r="M317" s="10">
        <v>14033</v>
      </c>
      <c r="N317" s="10">
        <v>1926</v>
      </c>
      <c r="O317" s="10">
        <v>5163</v>
      </c>
      <c r="P317" s="10">
        <v>47257</v>
      </c>
      <c r="Q317" s="10">
        <v>10414</v>
      </c>
      <c r="R317" s="10">
        <v>0</v>
      </c>
      <c r="S317" s="10">
        <v>187264</v>
      </c>
      <c r="T317" s="10">
        <v>70367</v>
      </c>
      <c r="U317" s="10">
        <v>20.1133657554922</v>
      </c>
      <c r="V317" s="10">
        <v>22.518763073096274</v>
      </c>
      <c r="W317" s="10">
        <v>0</v>
      </c>
      <c r="X317" s="10">
        <v>20.813951882122712</v>
      </c>
      <c r="Y317" s="10">
        <v>31.584885086394902</v>
      </c>
      <c r="Z317" s="10">
        <v>17.443621399176955</v>
      </c>
      <c r="AA317" s="10">
        <v>16.482116244411326</v>
      </c>
      <c r="AB317" s="10">
        <v>29.778830536004332</v>
      </c>
      <c r="AC317" s="10">
        <v>0</v>
      </c>
      <c r="AD317" s="10">
        <v>0</v>
      </c>
      <c r="AE317" s="10">
        <v>22.343609572578117</v>
      </c>
      <c r="AF317" s="10">
        <v>41.609206869521849</v>
      </c>
      <c r="AG317" s="10">
        <v>28.618380062305295</v>
      </c>
      <c r="AH317" s="10">
        <v>24.440828975401896</v>
      </c>
      <c r="AI317" s="10">
        <v>38.380790147491375</v>
      </c>
      <c r="AJ317" s="10">
        <v>0</v>
      </c>
      <c r="AK317" s="10">
        <v>27.120414826195507</v>
      </c>
      <c r="AL317" s="10">
        <v>0</v>
      </c>
      <c r="AM317" s="10">
        <v>0</v>
      </c>
      <c r="AN317" s="10">
        <v>9</v>
      </c>
      <c r="AO317" s="10">
        <v>7</v>
      </c>
      <c r="AP317" s="10">
        <v>33</v>
      </c>
      <c r="AQ317" s="10">
        <v>29</v>
      </c>
      <c r="AR317" s="10">
        <v>15</v>
      </c>
      <c r="AS317" s="10">
        <v>0</v>
      </c>
      <c r="AT317" s="10">
        <v>2</v>
      </c>
      <c r="AU317" s="10">
        <v>12</v>
      </c>
      <c r="AV317" s="10">
        <v>0</v>
      </c>
      <c r="AW317" s="10">
        <v>4</v>
      </c>
      <c r="AX317" s="10">
        <v>7</v>
      </c>
      <c r="AY317" s="10">
        <v>2</v>
      </c>
      <c r="AZ317" s="10">
        <v>20</v>
      </c>
      <c r="BA317" s="10">
        <v>5</v>
      </c>
      <c r="BB317" s="10">
        <v>0</v>
      </c>
      <c r="BC317" s="10">
        <v>145</v>
      </c>
      <c r="BD317" s="10">
        <v>2</v>
      </c>
      <c r="BE317" s="10">
        <v>2</v>
      </c>
      <c r="BF317" s="10">
        <v>12</v>
      </c>
      <c r="BG317" s="10">
        <v>39</v>
      </c>
      <c r="BH317" s="10">
        <v>1</v>
      </c>
      <c r="BI317" s="10">
        <v>0</v>
      </c>
      <c r="BJ317" s="10">
        <v>1</v>
      </c>
      <c r="BK317" s="10">
        <v>0</v>
      </c>
      <c r="BL317" s="10">
        <v>0</v>
      </c>
      <c r="BM317" s="10">
        <v>0</v>
      </c>
      <c r="BN317" s="10">
        <v>1</v>
      </c>
      <c r="BO317" s="10">
        <v>0</v>
      </c>
      <c r="BP317" s="10">
        <v>4</v>
      </c>
      <c r="BQ317" s="10">
        <v>0</v>
      </c>
      <c r="BR317" s="10">
        <v>0</v>
      </c>
      <c r="BS317" s="10">
        <v>62</v>
      </c>
    </row>
    <row r="318" spans="1:71" x14ac:dyDescent="0.55000000000000004">
      <c r="A318" s="10">
        <v>883</v>
      </c>
      <c r="B318" s="10">
        <v>2022</v>
      </c>
      <c r="C318" s="10">
        <v>3221</v>
      </c>
      <c r="D318" s="10">
        <v>89121</v>
      </c>
      <c r="E318" s="10">
        <v>22060</v>
      </c>
      <c r="F318" s="10">
        <v>5343</v>
      </c>
      <c r="G318" s="10">
        <v>10360</v>
      </c>
      <c r="H318" s="10">
        <v>1385</v>
      </c>
      <c r="I318" s="10">
        <v>19390</v>
      </c>
      <c r="J318" s="10">
        <v>0</v>
      </c>
      <c r="K318" s="10">
        <v>0</v>
      </c>
      <c r="L318" s="10">
        <v>1565</v>
      </c>
      <c r="M318" s="10">
        <v>14162</v>
      </c>
      <c r="N318" s="10">
        <v>3288</v>
      </c>
      <c r="O318" s="10">
        <v>10378</v>
      </c>
      <c r="P318" s="10">
        <v>15304</v>
      </c>
      <c r="Q318" s="10">
        <v>4440</v>
      </c>
      <c r="R318" s="10">
        <v>3281</v>
      </c>
      <c r="S318" s="10">
        <v>153772</v>
      </c>
      <c r="T318" s="10">
        <v>49526</v>
      </c>
      <c r="U318" s="10">
        <v>25.70102452654455</v>
      </c>
      <c r="V318" s="10">
        <v>25.491713513088946</v>
      </c>
      <c r="W318" s="10">
        <v>37.776636713735556</v>
      </c>
      <c r="X318" s="10">
        <v>0</v>
      </c>
      <c r="Y318" s="10">
        <v>0</v>
      </c>
      <c r="Z318" s="10">
        <v>0</v>
      </c>
      <c r="AA318" s="10">
        <v>0</v>
      </c>
      <c r="AB318" s="10">
        <v>32.643630737493552</v>
      </c>
      <c r="AC318" s="10">
        <v>0</v>
      </c>
      <c r="AD318" s="10">
        <v>0</v>
      </c>
      <c r="AE318" s="10">
        <v>0</v>
      </c>
      <c r="AF318" s="10">
        <v>48.310973026408696</v>
      </c>
      <c r="AG318" s="10">
        <v>30.482664233576642</v>
      </c>
      <c r="AH318" s="10">
        <v>0</v>
      </c>
      <c r="AI318" s="10">
        <v>46.677535284892834</v>
      </c>
      <c r="AJ318" s="10">
        <v>58.699084668192214</v>
      </c>
      <c r="AK318" s="10">
        <v>32.971846846846844</v>
      </c>
      <c r="AL318" s="10">
        <v>27.702834501676321</v>
      </c>
      <c r="AM318" s="10">
        <v>0</v>
      </c>
      <c r="AN318" s="10">
        <v>1</v>
      </c>
      <c r="AO318" s="10">
        <v>0</v>
      </c>
      <c r="AP318" s="10">
        <v>30</v>
      </c>
      <c r="AQ318" s="10">
        <v>0</v>
      </c>
      <c r="AR318" s="10">
        <v>0</v>
      </c>
      <c r="AS318" s="10">
        <v>0</v>
      </c>
      <c r="AT318" s="10">
        <v>7</v>
      </c>
      <c r="AU318" s="10">
        <v>0</v>
      </c>
      <c r="AV318" s="10">
        <v>0</v>
      </c>
      <c r="AW318" s="10">
        <v>1</v>
      </c>
      <c r="AX318" s="10">
        <v>7</v>
      </c>
      <c r="AY318" s="10">
        <v>1</v>
      </c>
      <c r="AZ318" s="10">
        <v>9</v>
      </c>
      <c r="BA318" s="10">
        <v>2</v>
      </c>
      <c r="BB318" s="10">
        <v>4</v>
      </c>
      <c r="BC318" s="10">
        <v>62</v>
      </c>
      <c r="BD318" s="10">
        <v>1</v>
      </c>
      <c r="BE318" s="10">
        <v>0</v>
      </c>
      <c r="BF318" s="10">
        <v>35</v>
      </c>
      <c r="BG318" s="10">
        <v>0</v>
      </c>
      <c r="BH318" s="10">
        <v>0</v>
      </c>
      <c r="BI318" s="10">
        <v>0</v>
      </c>
      <c r="BJ318" s="10">
        <v>2</v>
      </c>
      <c r="BK318" s="10">
        <v>0</v>
      </c>
      <c r="BL318" s="10">
        <v>0</v>
      </c>
      <c r="BM318" s="10">
        <v>0</v>
      </c>
      <c r="BN318" s="10">
        <v>1</v>
      </c>
      <c r="BO318" s="10">
        <v>0</v>
      </c>
      <c r="BP318" s="10">
        <v>0</v>
      </c>
      <c r="BQ318" s="10">
        <v>1</v>
      </c>
      <c r="BR318" s="10">
        <v>2</v>
      </c>
      <c r="BS318" s="10">
        <v>42</v>
      </c>
    </row>
    <row r="319" spans="1:71" x14ac:dyDescent="0.55000000000000004">
      <c r="A319" s="10">
        <v>956</v>
      </c>
      <c r="B319" s="10">
        <v>2022</v>
      </c>
      <c r="C319" s="10">
        <v>17126</v>
      </c>
      <c r="D319" s="10">
        <v>90038</v>
      </c>
      <c r="E319" s="10">
        <v>0</v>
      </c>
      <c r="F319" s="10">
        <v>13820</v>
      </c>
      <c r="G319" s="10">
        <v>13820</v>
      </c>
      <c r="H319" s="10">
        <v>5786</v>
      </c>
      <c r="I319" s="10">
        <v>24972</v>
      </c>
      <c r="J319" s="10">
        <v>0</v>
      </c>
      <c r="K319" s="10">
        <v>0</v>
      </c>
      <c r="L319" s="10">
        <v>11176</v>
      </c>
      <c r="M319" s="10">
        <v>15494</v>
      </c>
      <c r="N319" s="10">
        <v>1574</v>
      </c>
      <c r="O319" s="10">
        <v>6003</v>
      </c>
      <c r="P319" s="10">
        <v>37770</v>
      </c>
      <c r="Q319" s="10">
        <v>3676</v>
      </c>
      <c r="R319" s="10">
        <v>4451</v>
      </c>
      <c r="S319" s="10">
        <v>206277</v>
      </c>
      <c r="T319" s="10">
        <v>39429</v>
      </c>
      <c r="U319" s="10">
        <v>23.251722527151699</v>
      </c>
      <c r="V319" s="10">
        <v>22.846997934205557</v>
      </c>
      <c r="W319" s="10">
        <v>0</v>
      </c>
      <c r="X319" s="10">
        <v>0</v>
      </c>
      <c r="Y319" s="10">
        <v>31.970332850940665</v>
      </c>
      <c r="Z319" s="10">
        <v>19.235383502170766</v>
      </c>
      <c r="AA319" s="10">
        <v>15.606463878326995</v>
      </c>
      <c r="AB319" s="10">
        <v>33.431042767900045</v>
      </c>
      <c r="AC319" s="10">
        <v>50.727272727272727</v>
      </c>
      <c r="AD319" s="10">
        <v>0</v>
      </c>
      <c r="AE319" s="10">
        <v>19.979599141016461</v>
      </c>
      <c r="AF319" s="10">
        <v>41.050793855686074</v>
      </c>
      <c r="AG319" s="10">
        <v>27.786531130876746</v>
      </c>
      <c r="AH319" s="10">
        <v>22.929868399133767</v>
      </c>
      <c r="AI319" s="10">
        <v>38.922266348954196</v>
      </c>
      <c r="AJ319" s="10">
        <v>60.477382875605819</v>
      </c>
      <c r="AK319" s="10">
        <v>28.366158868335148</v>
      </c>
      <c r="AL319" s="10">
        <v>27.89665243765446</v>
      </c>
      <c r="AM319" s="10">
        <v>0</v>
      </c>
      <c r="AN319" s="10">
        <v>8</v>
      </c>
      <c r="AO319" s="10">
        <v>5</v>
      </c>
      <c r="AP319" s="10">
        <v>36</v>
      </c>
      <c r="AQ319" s="10">
        <v>0</v>
      </c>
      <c r="AR319" s="10">
        <v>7</v>
      </c>
      <c r="AS319" s="10">
        <v>3</v>
      </c>
      <c r="AT319" s="10">
        <v>8</v>
      </c>
      <c r="AU319" s="10">
        <v>4</v>
      </c>
      <c r="AV319" s="10">
        <v>0</v>
      </c>
      <c r="AW319" s="10">
        <v>4</v>
      </c>
      <c r="AX319" s="10">
        <v>8</v>
      </c>
      <c r="AY319" s="10">
        <v>1</v>
      </c>
      <c r="AZ319" s="10">
        <v>14</v>
      </c>
      <c r="BA319" s="10">
        <v>2</v>
      </c>
      <c r="BB319" s="10">
        <v>0</v>
      </c>
      <c r="BC319" s="10">
        <v>100</v>
      </c>
      <c r="BD319" s="10">
        <v>1</v>
      </c>
      <c r="BE319" s="10">
        <v>6</v>
      </c>
      <c r="BF319" s="10">
        <v>13</v>
      </c>
      <c r="BG319" s="10">
        <v>0</v>
      </c>
      <c r="BH319" s="10">
        <v>1</v>
      </c>
      <c r="BI319" s="10">
        <v>0</v>
      </c>
      <c r="BJ319" s="10">
        <v>6</v>
      </c>
      <c r="BK319" s="10">
        <v>0</v>
      </c>
      <c r="BL319" s="10">
        <v>0</v>
      </c>
      <c r="BM319" s="10">
        <v>0</v>
      </c>
      <c r="BN319" s="10">
        <v>0</v>
      </c>
      <c r="BO319" s="10">
        <v>0</v>
      </c>
      <c r="BP319" s="10">
        <v>6</v>
      </c>
      <c r="BQ319" s="10">
        <v>0</v>
      </c>
      <c r="BR319" s="10">
        <v>0</v>
      </c>
      <c r="BS319" s="10">
        <v>33</v>
      </c>
    </row>
    <row r="320" spans="1:71" x14ac:dyDescent="0.55000000000000004">
      <c r="A320" s="10">
        <v>608</v>
      </c>
      <c r="B320" s="10">
        <v>2022</v>
      </c>
      <c r="C320" s="10">
        <v>4419</v>
      </c>
      <c r="D320" s="10">
        <v>90048</v>
      </c>
      <c r="E320" s="10">
        <v>29510</v>
      </c>
      <c r="F320" s="10">
        <v>9098</v>
      </c>
      <c r="G320" s="10">
        <v>10812</v>
      </c>
      <c r="H320" s="10">
        <v>2140</v>
      </c>
      <c r="I320" s="10">
        <v>29305</v>
      </c>
      <c r="J320" s="10">
        <v>320</v>
      </c>
      <c r="K320" s="10">
        <v>0</v>
      </c>
      <c r="L320" s="10">
        <v>9346</v>
      </c>
      <c r="M320" s="10">
        <v>9973</v>
      </c>
      <c r="N320" s="10">
        <v>1038</v>
      </c>
      <c r="O320" s="10">
        <v>4221</v>
      </c>
      <c r="P320" s="10">
        <v>27361</v>
      </c>
      <c r="Q320" s="10">
        <v>7650</v>
      </c>
      <c r="R320" s="10">
        <v>1602</v>
      </c>
      <c r="S320" s="10">
        <v>181062</v>
      </c>
      <c r="T320" s="10">
        <v>55781</v>
      </c>
      <c r="U320" s="10">
        <v>18.954967187146412</v>
      </c>
      <c r="V320" s="10">
        <v>22.033126776830137</v>
      </c>
      <c r="W320" s="10">
        <v>0</v>
      </c>
      <c r="X320" s="10">
        <v>17.208268383598778</v>
      </c>
      <c r="Y320" s="10">
        <v>29.196087052099362</v>
      </c>
      <c r="Z320" s="10">
        <v>16.996300406955235</v>
      </c>
      <c r="AA320" s="10">
        <v>18.914485981308413</v>
      </c>
      <c r="AB320" s="10">
        <v>33.252516635386449</v>
      </c>
      <c r="AC320" s="10">
        <v>48.2</v>
      </c>
      <c r="AD320" s="10">
        <v>0</v>
      </c>
      <c r="AE320" s="10">
        <v>23.333832655681576</v>
      </c>
      <c r="AF320" s="10">
        <v>42.881780808182093</v>
      </c>
      <c r="AG320" s="10">
        <v>29.062620423892099</v>
      </c>
      <c r="AH320" s="10">
        <v>24.911632314617389</v>
      </c>
      <c r="AI320" s="10">
        <v>40.940791637732538</v>
      </c>
      <c r="AJ320" s="10">
        <v>61.305799648506152</v>
      </c>
      <c r="AK320" s="10">
        <v>29.990196078431374</v>
      </c>
      <c r="AL320" s="10">
        <v>24.410736579275902</v>
      </c>
      <c r="AM320" s="10">
        <v>0</v>
      </c>
      <c r="AN320" s="10">
        <v>4</v>
      </c>
      <c r="AO320" s="10">
        <v>3</v>
      </c>
      <c r="AP320" s="10">
        <v>45</v>
      </c>
      <c r="AQ320" s="10">
        <v>10</v>
      </c>
      <c r="AR320" s="10">
        <v>8</v>
      </c>
      <c r="AS320" s="10">
        <v>0</v>
      </c>
      <c r="AT320" s="10">
        <v>9</v>
      </c>
      <c r="AU320" s="10">
        <v>4</v>
      </c>
      <c r="AV320" s="10">
        <v>0</v>
      </c>
      <c r="AW320" s="10">
        <v>5</v>
      </c>
      <c r="AX320" s="10">
        <v>4</v>
      </c>
      <c r="AY320" s="10">
        <v>1</v>
      </c>
      <c r="AZ320" s="10">
        <v>5</v>
      </c>
      <c r="BA320" s="10">
        <v>4</v>
      </c>
      <c r="BB320" s="10">
        <v>1</v>
      </c>
      <c r="BC320" s="10">
        <v>103</v>
      </c>
      <c r="BD320" s="10">
        <v>0</v>
      </c>
      <c r="BE320" s="10">
        <v>2</v>
      </c>
      <c r="BF320" s="10">
        <v>12</v>
      </c>
      <c r="BG320" s="10">
        <v>17</v>
      </c>
      <c r="BH320" s="10">
        <v>0</v>
      </c>
      <c r="BI320" s="10">
        <v>0</v>
      </c>
      <c r="BJ320" s="10">
        <v>6</v>
      </c>
      <c r="BK320" s="10">
        <v>0</v>
      </c>
      <c r="BL320" s="10">
        <v>0</v>
      </c>
      <c r="BM320" s="10">
        <v>0</v>
      </c>
      <c r="BN320" s="10">
        <v>0</v>
      </c>
      <c r="BO320" s="10">
        <v>0</v>
      </c>
      <c r="BP320" s="10">
        <v>8</v>
      </c>
      <c r="BQ320" s="10">
        <v>0</v>
      </c>
      <c r="BR320" s="10">
        <v>0</v>
      </c>
      <c r="BS320" s="10">
        <v>45</v>
      </c>
    </row>
    <row r="321" spans="1:71" x14ac:dyDescent="0.55000000000000004">
      <c r="A321" s="10">
        <v>822</v>
      </c>
      <c r="B321" s="10">
        <v>2022</v>
      </c>
      <c r="C321" s="10">
        <v>2088</v>
      </c>
      <c r="D321" s="10">
        <v>91061</v>
      </c>
      <c r="E321" s="10">
        <v>0</v>
      </c>
      <c r="F321" s="10">
        <v>35005</v>
      </c>
      <c r="G321" s="10">
        <v>14341</v>
      </c>
      <c r="H321" s="10">
        <v>4775</v>
      </c>
      <c r="I321" s="10">
        <v>41622</v>
      </c>
      <c r="J321" s="10">
        <v>0</v>
      </c>
      <c r="K321" s="10">
        <v>0</v>
      </c>
      <c r="L321" s="10">
        <v>9802</v>
      </c>
      <c r="M321" s="10">
        <v>9785</v>
      </c>
      <c r="N321" s="10">
        <v>5455</v>
      </c>
      <c r="O321" s="10">
        <v>9843</v>
      </c>
      <c r="P321" s="10">
        <v>33678</v>
      </c>
      <c r="Q321" s="10">
        <v>7359</v>
      </c>
      <c r="R321" s="10">
        <v>1537</v>
      </c>
      <c r="S321" s="10">
        <v>202387</v>
      </c>
      <c r="T321" s="10">
        <v>63964</v>
      </c>
      <c r="U321" s="10">
        <v>22.044540229885055</v>
      </c>
      <c r="V321" s="10">
        <v>25.723690712818879</v>
      </c>
      <c r="W321" s="10">
        <v>33.756268806419257</v>
      </c>
      <c r="X321" s="10">
        <v>0</v>
      </c>
      <c r="Y321" s="10">
        <v>27.385259248678757</v>
      </c>
      <c r="Z321" s="10">
        <v>21.040373753573672</v>
      </c>
      <c r="AA321" s="10">
        <v>19.946387434554975</v>
      </c>
      <c r="AB321" s="10">
        <v>33.815698428715578</v>
      </c>
      <c r="AC321" s="10">
        <v>0</v>
      </c>
      <c r="AD321" s="10">
        <v>0</v>
      </c>
      <c r="AE321" s="10">
        <v>22.434197102632115</v>
      </c>
      <c r="AF321" s="10">
        <v>44.382115482881964</v>
      </c>
      <c r="AG321" s="10">
        <v>24.800366636113658</v>
      </c>
      <c r="AH321" s="10">
        <v>19.418774763791529</v>
      </c>
      <c r="AI321" s="10">
        <v>38.21696656571055</v>
      </c>
      <c r="AJ321" s="10">
        <v>0</v>
      </c>
      <c r="AK321" s="10">
        <v>28.731213480092404</v>
      </c>
      <c r="AL321" s="10">
        <v>23.65647364996747</v>
      </c>
      <c r="AM321" s="10">
        <v>0</v>
      </c>
      <c r="AN321" s="10">
        <v>1</v>
      </c>
      <c r="AO321" s="10">
        <v>15</v>
      </c>
      <c r="AP321" s="10">
        <v>25</v>
      </c>
      <c r="AQ321" s="10">
        <v>0</v>
      </c>
      <c r="AR321" s="10">
        <v>7</v>
      </c>
      <c r="AS321" s="10">
        <v>2</v>
      </c>
      <c r="AT321" s="10">
        <v>14</v>
      </c>
      <c r="AU321" s="10">
        <v>6</v>
      </c>
      <c r="AV321" s="10">
        <v>0</v>
      </c>
      <c r="AW321" s="10">
        <v>5</v>
      </c>
      <c r="AX321" s="10">
        <v>7</v>
      </c>
      <c r="AY321" s="10">
        <v>1</v>
      </c>
      <c r="AZ321" s="10">
        <v>12</v>
      </c>
      <c r="BA321" s="10">
        <v>4</v>
      </c>
      <c r="BB321" s="10">
        <v>3</v>
      </c>
      <c r="BC321" s="10">
        <v>102</v>
      </c>
      <c r="BD321" s="10">
        <v>0</v>
      </c>
      <c r="BE321" s="10">
        <v>6</v>
      </c>
      <c r="BF321" s="10">
        <v>26</v>
      </c>
      <c r="BG321" s="10">
        <v>0</v>
      </c>
      <c r="BH321" s="10">
        <v>1</v>
      </c>
      <c r="BI321" s="10">
        <v>0</v>
      </c>
      <c r="BJ321" s="10">
        <v>8</v>
      </c>
      <c r="BK321" s="10">
        <v>0</v>
      </c>
      <c r="BL321" s="10">
        <v>0</v>
      </c>
      <c r="BM321" s="10">
        <v>0</v>
      </c>
      <c r="BN321" s="10">
        <v>0</v>
      </c>
      <c r="BO321" s="10">
        <v>3</v>
      </c>
      <c r="BP321" s="10">
        <v>3</v>
      </c>
      <c r="BQ321" s="10">
        <v>0</v>
      </c>
      <c r="BR321" s="10">
        <v>2</v>
      </c>
      <c r="BS321" s="10">
        <v>49</v>
      </c>
    </row>
    <row r="322" spans="1:71" x14ac:dyDescent="0.55000000000000004">
      <c r="A322" s="10">
        <v>637</v>
      </c>
      <c r="B322" s="10">
        <v>2022</v>
      </c>
      <c r="C322" s="10">
        <v>4819</v>
      </c>
      <c r="D322" s="10">
        <v>92484</v>
      </c>
      <c r="E322" s="10">
        <v>32686</v>
      </c>
      <c r="F322" s="10">
        <v>19636</v>
      </c>
      <c r="G322" s="10">
        <v>15893</v>
      </c>
      <c r="H322" s="10">
        <v>3983</v>
      </c>
      <c r="I322" s="10">
        <v>17750</v>
      </c>
      <c r="J322" s="10">
        <v>4062</v>
      </c>
      <c r="K322" s="10">
        <v>0</v>
      </c>
      <c r="L322" s="10">
        <v>16792</v>
      </c>
      <c r="M322" s="10">
        <v>12454</v>
      </c>
      <c r="N322" s="10">
        <v>1128</v>
      </c>
      <c r="O322" s="10">
        <v>9561</v>
      </c>
      <c r="P322" s="10">
        <v>39992</v>
      </c>
      <c r="Q322" s="10">
        <v>9622</v>
      </c>
      <c r="R322" s="10">
        <v>0</v>
      </c>
      <c r="S322" s="10">
        <v>199103</v>
      </c>
      <c r="T322" s="10">
        <v>81759</v>
      </c>
      <c r="U322" s="10">
        <v>19.897281593691634</v>
      </c>
      <c r="V322" s="10">
        <v>25.724179317503566</v>
      </c>
      <c r="W322" s="10">
        <v>33.528301886792448</v>
      </c>
      <c r="X322" s="10">
        <v>18.449764425136145</v>
      </c>
      <c r="Y322" s="10">
        <v>28.854094520268895</v>
      </c>
      <c r="Z322" s="10">
        <v>18.222991254011198</v>
      </c>
      <c r="AA322" s="10">
        <v>18.357268390660305</v>
      </c>
      <c r="AB322" s="10">
        <v>33.577352112676053</v>
      </c>
      <c r="AC322" s="10">
        <v>57.726105563480736</v>
      </c>
      <c r="AD322" s="10">
        <v>0</v>
      </c>
      <c r="AE322" s="10">
        <v>25.663053835159602</v>
      </c>
      <c r="AF322" s="10">
        <v>41.526658101814675</v>
      </c>
      <c r="AG322" s="10">
        <v>30.481382978723403</v>
      </c>
      <c r="AH322" s="10">
        <v>23.755360317958374</v>
      </c>
      <c r="AI322" s="10">
        <v>40.251100220044002</v>
      </c>
      <c r="AJ322" s="10">
        <v>75.361111111111114</v>
      </c>
      <c r="AK322" s="10">
        <v>25.239035543546038</v>
      </c>
      <c r="AL322" s="10">
        <v>0</v>
      </c>
      <c r="AM322" s="10">
        <v>39.142857142857146</v>
      </c>
      <c r="AN322" s="10">
        <v>7</v>
      </c>
      <c r="AO322" s="10">
        <v>7</v>
      </c>
      <c r="AP322" s="10">
        <v>34</v>
      </c>
      <c r="AQ322" s="10">
        <v>26</v>
      </c>
      <c r="AR322" s="10">
        <v>18</v>
      </c>
      <c r="AS322" s="10">
        <v>0</v>
      </c>
      <c r="AT322" s="10">
        <v>9</v>
      </c>
      <c r="AU322" s="10">
        <v>12</v>
      </c>
      <c r="AV322" s="10">
        <v>0</v>
      </c>
      <c r="AW322" s="10">
        <v>7</v>
      </c>
      <c r="AX322" s="10">
        <v>7</v>
      </c>
      <c r="AY322" s="10">
        <v>1</v>
      </c>
      <c r="AZ322" s="10">
        <v>15</v>
      </c>
      <c r="BA322" s="10">
        <v>6</v>
      </c>
      <c r="BB322" s="10">
        <v>0</v>
      </c>
      <c r="BC322" s="10">
        <v>149</v>
      </c>
      <c r="BD322" s="10">
        <v>0</v>
      </c>
      <c r="BE322" s="10">
        <v>6</v>
      </c>
      <c r="BF322" s="10">
        <v>9</v>
      </c>
      <c r="BG322" s="10">
        <v>21</v>
      </c>
      <c r="BH322" s="10">
        <v>3</v>
      </c>
      <c r="BI322" s="10">
        <v>0</v>
      </c>
      <c r="BJ322" s="10">
        <v>2</v>
      </c>
      <c r="BK322" s="10">
        <v>0</v>
      </c>
      <c r="BL322" s="10">
        <v>0</v>
      </c>
      <c r="BM322" s="10">
        <v>0</v>
      </c>
      <c r="BN322" s="10">
        <v>0</v>
      </c>
      <c r="BO322" s="10">
        <v>1</v>
      </c>
      <c r="BP322" s="10">
        <v>4</v>
      </c>
      <c r="BQ322" s="10">
        <v>0</v>
      </c>
      <c r="BR322" s="10">
        <v>0</v>
      </c>
      <c r="BS322" s="10">
        <v>46</v>
      </c>
    </row>
    <row r="323" spans="1:71" x14ac:dyDescent="0.55000000000000004">
      <c r="A323" s="10">
        <v>372</v>
      </c>
      <c r="B323" s="10">
        <v>2022</v>
      </c>
      <c r="C323" s="10">
        <v>3109</v>
      </c>
      <c r="D323" s="10">
        <v>95455</v>
      </c>
      <c r="E323" s="10">
        <v>13255</v>
      </c>
      <c r="F323" s="10">
        <v>3075</v>
      </c>
      <c r="G323" s="10">
        <v>12070</v>
      </c>
      <c r="H323" s="10">
        <v>1848</v>
      </c>
      <c r="I323" s="10">
        <v>18426</v>
      </c>
      <c r="J323" s="10">
        <v>0</v>
      </c>
      <c r="K323" s="10">
        <v>0</v>
      </c>
      <c r="L323" s="10">
        <v>3025</v>
      </c>
      <c r="M323" s="10">
        <v>6786</v>
      </c>
      <c r="N323" s="10">
        <v>1664</v>
      </c>
      <c r="O323" s="10">
        <v>2311</v>
      </c>
      <c r="P323" s="10">
        <v>16293</v>
      </c>
      <c r="Q323" s="10">
        <v>2188</v>
      </c>
      <c r="R323" s="10">
        <v>0</v>
      </c>
      <c r="S323" s="10">
        <v>146946</v>
      </c>
      <c r="T323" s="10">
        <v>32559</v>
      </c>
      <c r="U323" s="10">
        <v>25.776455451913801</v>
      </c>
      <c r="V323" s="10">
        <v>22.234906500445238</v>
      </c>
      <c r="W323" s="10">
        <v>0</v>
      </c>
      <c r="X323" s="10">
        <v>22.675971331572992</v>
      </c>
      <c r="Y323" s="10">
        <v>53.753821138211386</v>
      </c>
      <c r="Z323" s="10">
        <v>17.957000828500416</v>
      </c>
      <c r="AA323" s="10">
        <v>22.68452380952381</v>
      </c>
      <c r="AB323" s="10">
        <v>33.211928796266143</v>
      </c>
      <c r="AC323" s="10">
        <v>0</v>
      </c>
      <c r="AD323" s="10">
        <v>0</v>
      </c>
      <c r="AE323" s="10">
        <v>21.512396694214875</v>
      </c>
      <c r="AF323" s="10">
        <v>42.309608016504569</v>
      </c>
      <c r="AG323" s="10">
        <v>31.916466346153843</v>
      </c>
      <c r="AH323" s="10">
        <v>37.753353526611861</v>
      </c>
      <c r="AI323" s="10">
        <v>39.938808077088318</v>
      </c>
      <c r="AJ323" s="10">
        <v>0</v>
      </c>
      <c r="AK323" s="10">
        <v>20.941499085923219</v>
      </c>
      <c r="AL323" s="10">
        <v>0</v>
      </c>
      <c r="AM323" s="10">
        <v>0</v>
      </c>
      <c r="AN323" s="10">
        <v>1</v>
      </c>
      <c r="AO323" s="10">
        <v>2</v>
      </c>
      <c r="AP323" s="10">
        <v>6</v>
      </c>
      <c r="AQ323" s="10">
        <v>5</v>
      </c>
      <c r="AR323" s="10">
        <v>5</v>
      </c>
      <c r="AS323" s="10">
        <v>0</v>
      </c>
      <c r="AT323" s="10">
        <v>1</v>
      </c>
      <c r="AU323" s="10">
        <v>1</v>
      </c>
      <c r="AV323" s="10">
        <v>0</v>
      </c>
      <c r="AW323" s="10">
        <v>0</v>
      </c>
      <c r="AX323" s="10">
        <v>1</v>
      </c>
      <c r="AY323" s="10">
        <v>1</v>
      </c>
      <c r="AZ323" s="10">
        <v>4</v>
      </c>
      <c r="BA323" s="10">
        <v>1</v>
      </c>
      <c r="BB323" s="10">
        <v>0</v>
      </c>
      <c r="BC323" s="10">
        <v>28</v>
      </c>
      <c r="BD323" s="10">
        <v>1</v>
      </c>
      <c r="BE323" s="10">
        <v>0</v>
      </c>
      <c r="BF323" s="10">
        <v>34</v>
      </c>
      <c r="BG323" s="10">
        <v>0</v>
      </c>
      <c r="BH323" s="10">
        <v>2</v>
      </c>
      <c r="BI323" s="10">
        <v>0</v>
      </c>
      <c r="BJ323" s="10">
        <v>10</v>
      </c>
      <c r="BK323" s="10">
        <v>0</v>
      </c>
      <c r="BL323" s="10">
        <v>0</v>
      </c>
      <c r="BM323" s="10">
        <v>3</v>
      </c>
      <c r="BN323" s="10">
        <v>5</v>
      </c>
      <c r="BO323" s="10">
        <v>1</v>
      </c>
      <c r="BP323" s="10">
        <v>5</v>
      </c>
      <c r="BQ323" s="10">
        <v>1</v>
      </c>
      <c r="BR323" s="10">
        <v>0</v>
      </c>
      <c r="BS323" s="10">
        <v>62</v>
      </c>
    </row>
    <row r="324" spans="1:71" x14ac:dyDescent="0.55000000000000004">
      <c r="A324" s="10">
        <v>351</v>
      </c>
      <c r="B324" s="10">
        <v>2022</v>
      </c>
      <c r="C324" s="10">
        <v>8485</v>
      </c>
      <c r="D324" s="10">
        <v>100125</v>
      </c>
      <c r="E324" s="10">
        <v>36640</v>
      </c>
      <c r="F324" s="10">
        <v>10264</v>
      </c>
      <c r="G324" s="10">
        <v>10516</v>
      </c>
      <c r="H324" s="10">
        <v>3158</v>
      </c>
      <c r="I324" s="10">
        <v>22057</v>
      </c>
      <c r="J324" s="10">
        <v>0</v>
      </c>
      <c r="K324" s="10">
        <v>0</v>
      </c>
      <c r="L324" s="10">
        <v>10443</v>
      </c>
      <c r="M324" s="10">
        <v>14780</v>
      </c>
      <c r="N324" s="10">
        <v>1356</v>
      </c>
      <c r="O324" s="10">
        <v>5919</v>
      </c>
      <c r="P324" s="10">
        <v>16366</v>
      </c>
      <c r="Q324" s="10">
        <v>9160</v>
      </c>
      <c r="R324" s="10">
        <v>47698</v>
      </c>
      <c r="S324" s="10">
        <v>230470</v>
      </c>
      <c r="T324" s="10">
        <v>66497</v>
      </c>
      <c r="U324" s="10">
        <v>20.415085444902768</v>
      </c>
      <c r="V324" s="10">
        <v>21.334142322097374</v>
      </c>
      <c r="W324" s="10">
        <v>0</v>
      </c>
      <c r="X324" s="10">
        <v>18.93264192139738</v>
      </c>
      <c r="Y324" s="10">
        <v>28.725155884645361</v>
      </c>
      <c r="Z324" s="10">
        <v>17.173449980981363</v>
      </c>
      <c r="AA324" s="10">
        <v>18.769791006966436</v>
      </c>
      <c r="AB324" s="10">
        <v>31.627601215033778</v>
      </c>
      <c r="AC324" s="10">
        <v>0</v>
      </c>
      <c r="AD324" s="10">
        <v>0</v>
      </c>
      <c r="AE324" s="10">
        <v>22.513645504165471</v>
      </c>
      <c r="AF324" s="10">
        <v>42.706156968876861</v>
      </c>
      <c r="AG324" s="10">
        <v>31.508849557522122</v>
      </c>
      <c r="AH324" s="10">
        <v>26.221659064031083</v>
      </c>
      <c r="AI324" s="10">
        <v>38.126848344128071</v>
      </c>
      <c r="AJ324" s="10">
        <v>0</v>
      </c>
      <c r="AK324" s="10">
        <v>27.583296943231442</v>
      </c>
      <c r="AL324" s="10">
        <v>24.910080087215395</v>
      </c>
      <c r="AM324" s="10">
        <v>0</v>
      </c>
      <c r="AN324" s="10">
        <v>5</v>
      </c>
      <c r="AO324" s="10">
        <v>4</v>
      </c>
      <c r="AP324" s="10">
        <v>34</v>
      </c>
      <c r="AQ324" s="10">
        <v>14</v>
      </c>
      <c r="AR324" s="10">
        <v>7</v>
      </c>
      <c r="AS324" s="10">
        <v>0</v>
      </c>
      <c r="AT324" s="10">
        <v>9</v>
      </c>
      <c r="AU324" s="10">
        <v>3</v>
      </c>
      <c r="AV324" s="10">
        <v>0</v>
      </c>
      <c r="AW324" s="10">
        <v>6</v>
      </c>
      <c r="AX324" s="10">
        <v>7</v>
      </c>
      <c r="AY324" s="10">
        <v>1</v>
      </c>
      <c r="AZ324" s="10">
        <v>8</v>
      </c>
      <c r="BA324" s="10">
        <v>5</v>
      </c>
      <c r="BB324" s="10">
        <v>19</v>
      </c>
      <c r="BC324" s="10">
        <v>122</v>
      </c>
      <c r="BD324" s="10">
        <v>2</v>
      </c>
      <c r="BE324" s="10">
        <v>4</v>
      </c>
      <c r="BF324" s="10">
        <v>24</v>
      </c>
      <c r="BG324" s="10">
        <v>16</v>
      </c>
      <c r="BH324" s="10">
        <v>1</v>
      </c>
      <c r="BI324" s="10">
        <v>0</v>
      </c>
      <c r="BJ324" s="10">
        <v>3</v>
      </c>
      <c r="BK324" s="10">
        <v>0</v>
      </c>
      <c r="BL324" s="10">
        <v>0</v>
      </c>
      <c r="BM324" s="10">
        <v>0</v>
      </c>
      <c r="BN324" s="10">
        <v>0</v>
      </c>
      <c r="BO324" s="10">
        <v>0</v>
      </c>
      <c r="BP324" s="10">
        <v>0</v>
      </c>
      <c r="BQ324" s="10">
        <v>0</v>
      </c>
      <c r="BR324" s="10">
        <v>5</v>
      </c>
      <c r="BS324" s="10">
        <v>55</v>
      </c>
    </row>
    <row r="325" spans="1:71" x14ac:dyDescent="0.55000000000000004">
      <c r="A325" s="10">
        <v>478</v>
      </c>
      <c r="B325" s="10">
        <v>2022</v>
      </c>
      <c r="C325" s="10">
        <v>7238</v>
      </c>
      <c r="D325" s="10">
        <v>105763</v>
      </c>
      <c r="E325" s="10">
        <v>39724</v>
      </c>
      <c r="F325" s="10">
        <v>14975</v>
      </c>
      <c r="G325" s="10">
        <v>13975</v>
      </c>
      <c r="H325" s="10">
        <v>5264</v>
      </c>
      <c r="I325" s="10">
        <v>21407</v>
      </c>
      <c r="J325" s="10">
        <v>0</v>
      </c>
      <c r="K325" s="10">
        <v>0</v>
      </c>
      <c r="L325" s="10">
        <v>11787</v>
      </c>
      <c r="M325" s="10">
        <v>14254</v>
      </c>
      <c r="N325" s="10">
        <v>1766</v>
      </c>
      <c r="O325" s="10">
        <v>3040</v>
      </c>
      <c r="P325" s="10">
        <v>27922</v>
      </c>
      <c r="Q325" s="10">
        <v>7571</v>
      </c>
      <c r="R325" s="10">
        <v>6504</v>
      </c>
      <c r="S325" s="10">
        <v>204212</v>
      </c>
      <c r="T325" s="10">
        <v>76978</v>
      </c>
      <c r="U325" s="10">
        <v>16.616054158607351</v>
      </c>
      <c r="V325" s="10">
        <v>20.857511606138253</v>
      </c>
      <c r="W325" s="10">
        <v>29.533333333333331</v>
      </c>
      <c r="X325" s="10">
        <v>18.693334004631961</v>
      </c>
      <c r="Y325" s="10">
        <v>29.525742904841405</v>
      </c>
      <c r="Z325" s="10">
        <v>16.49710196779964</v>
      </c>
      <c r="AA325" s="10">
        <v>19.354863221884496</v>
      </c>
      <c r="AB325" s="10">
        <v>29.715139907506888</v>
      </c>
      <c r="AC325" s="10">
        <v>0</v>
      </c>
      <c r="AD325" s="10">
        <v>0</v>
      </c>
      <c r="AE325" s="10">
        <v>0</v>
      </c>
      <c r="AF325" s="10">
        <v>41.689350357794304</v>
      </c>
      <c r="AG325" s="10">
        <v>28.240656851642129</v>
      </c>
      <c r="AH325" s="10">
        <v>22.3125</v>
      </c>
      <c r="AI325" s="10">
        <v>37.232325764630041</v>
      </c>
      <c r="AJ325" s="10">
        <v>0</v>
      </c>
      <c r="AK325" s="10">
        <v>29.333377360982698</v>
      </c>
      <c r="AL325" s="10">
        <v>24.527982779827799</v>
      </c>
      <c r="AM325" s="10">
        <v>0</v>
      </c>
      <c r="AN325" s="10">
        <v>8</v>
      </c>
      <c r="AO325" s="10">
        <v>10</v>
      </c>
      <c r="AP325" s="10">
        <v>54</v>
      </c>
      <c r="AQ325" s="10">
        <v>35</v>
      </c>
      <c r="AR325" s="10">
        <v>18</v>
      </c>
      <c r="AS325" s="10">
        <v>0</v>
      </c>
      <c r="AT325" s="10">
        <v>11</v>
      </c>
      <c r="AU325" s="10">
        <v>11</v>
      </c>
      <c r="AV325" s="10">
        <v>0</v>
      </c>
      <c r="AW325" s="10">
        <v>8</v>
      </c>
      <c r="AX325" s="10">
        <v>8</v>
      </c>
      <c r="AY325" s="10">
        <v>2</v>
      </c>
      <c r="AZ325" s="10">
        <v>21</v>
      </c>
      <c r="BA325" s="10">
        <v>4</v>
      </c>
      <c r="BB325" s="10">
        <v>4</v>
      </c>
      <c r="BC325" s="10">
        <v>194</v>
      </c>
      <c r="BD325" s="10">
        <v>1</v>
      </c>
      <c r="BE325" s="10">
        <v>6</v>
      </c>
      <c r="BF325" s="10">
        <v>38</v>
      </c>
      <c r="BG325" s="10">
        <v>53</v>
      </c>
      <c r="BH325" s="10">
        <v>2</v>
      </c>
      <c r="BI325" s="10">
        <v>0</v>
      </c>
      <c r="BJ325" s="10">
        <v>3</v>
      </c>
      <c r="BK325" s="10">
        <v>0</v>
      </c>
      <c r="BL325" s="10">
        <v>0</v>
      </c>
      <c r="BM325" s="10">
        <v>1</v>
      </c>
      <c r="BN325" s="10">
        <v>0</v>
      </c>
      <c r="BO325" s="10">
        <v>0</v>
      </c>
      <c r="BP325" s="10">
        <v>3</v>
      </c>
      <c r="BQ325" s="10">
        <v>0</v>
      </c>
      <c r="BR325" s="10">
        <v>1</v>
      </c>
      <c r="BS325" s="10">
        <v>108</v>
      </c>
    </row>
    <row r="326" spans="1:71" x14ac:dyDescent="0.55000000000000004">
      <c r="A326" s="10">
        <v>571</v>
      </c>
      <c r="B326" s="10">
        <v>2022</v>
      </c>
      <c r="C326" s="10">
        <v>8580</v>
      </c>
      <c r="D326" s="10">
        <v>107754</v>
      </c>
      <c r="E326" s="10">
        <v>26114</v>
      </c>
      <c r="F326" s="10">
        <v>28095</v>
      </c>
      <c r="G326" s="10">
        <v>12180</v>
      </c>
      <c r="H326" s="10">
        <v>1796</v>
      </c>
      <c r="I326" s="10">
        <v>28268</v>
      </c>
      <c r="J326" s="10">
        <v>0</v>
      </c>
      <c r="K326" s="10">
        <v>0</v>
      </c>
      <c r="L326" s="10">
        <v>9472</v>
      </c>
      <c r="M326" s="10">
        <v>11276</v>
      </c>
      <c r="N326" s="10">
        <v>560</v>
      </c>
      <c r="O326" s="10">
        <v>8370</v>
      </c>
      <c r="P326" s="10">
        <v>36952</v>
      </c>
      <c r="Q326" s="10">
        <v>3875</v>
      </c>
      <c r="R326" s="10">
        <v>0</v>
      </c>
      <c r="S326" s="10">
        <v>206737</v>
      </c>
      <c r="T326" s="10">
        <v>76555</v>
      </c>
      <c r="U326" s="10">
        <v>17.273310023310025</v>
      </c>
      <c r="V326" s="10">
        <v>18.111142045770922</v>
      </c>
      <c r="W326" s="10">
        <v>33.326752399927543</v>
      </c>
      <c r="X326" s="10">
        <v>18.950218273722907</v>
      </c>
      <c r="Y326" s="10">
        <v>21.985442249510587</v>
      </c>
      <c r="Z326" s="10">
        <v>16.834154351395732</v>
      </c>
      <c r="AA326" s="10">
        <v>21.948218262806236</v>
      </c>
      <c r="AB326" s="10">
        <v>21.73952879581152</v>
      </c>
      <c r="AC326" s="10">
        <v>30.934362934362937</v>
      </c>
      <c r="AD326" s="10">
        <v>0</v>
      </c>
      <c r="AE326" s="10">
        <v>0</v>
      </c>
      <c r="AF326" s="10">
        <v>37.047268534941466</v>
      </c>
      <c r="AG326" s="10">
        <v>38.11785714285714</v>
      </c>
      <c r="AH326" s="10">
        <v>18.610035842293907</v>
      </c>
      <c r="AI326" s="10">
        <v>26.049523706429962</v>
      </c>
      <c r="AJ326" s="10">
        <v>34.101190476190474</v>
      </c>
      <c r="AK326" s="10">
        <v>24.797935483870965</v>
      </c>
      <c r="AL326" s="10">
        <v>0</v>
      </c>
      <c r="AM326" s="10">
        <v>0</v>
      </c>
      <c r="AN326" s="10">
        <v>4</v>
      </c>
      <c r="AO326" s="10">
        <v>11</v>
      </c>
      <c r="AP326" s="10">
        <v>17</v>
      </c>
      <c r="AQ326" s="10">
        <v>11</v>
      </c>
      <c r="AR326" s="10">
        <v>4</v>
      </c>
      <c r="AS326" s="10">
        <v>1</v>
      </c>
      <c r="AT326" s="10">
        <v>5</v>
      </c>
      <c r="AU326" s="10">
        <v>5</v>
      </c>
      <c r="AV326" s="10">
        <v>0</v>
      </c>
      <c r="AW326" s="10">
        <v>3</v>
      </c>
      <c r="AX326" s="10">
        <v>9</v>
      </c>
      <c r="AY326" s="10">
        <v>0</v>
      </c>
      <c r="AZ326" s="10">
        <v>6</v>
      </c>
      <c r="BA326" s="10">
        <v>2</v>
      </c>
      <c r="BB326" s="10">
        <v>1</v>
      </c>
      <c r="BC326" s="10">
        <v>79</v>
      </c>
      <c r="BD326" s="10">
        <v>1</v>
      </c>
      <c r="BE326" s="10">
        <v>0</v>
      </c>
      <c r="BF326" s="10">
        <v>52</v>
      </c>
      <c r="BG326" s="10">
        <v>13</v>
      </c>
      <c r="BH326" s="10">
        <v>4</v>
      </c>
      <c r="BI326" s="10">
        <v>0</v>
      </c>
      <c r="BJ326" s="10">
        <v>3</v>
      </c>
      <c r="BK326" s="10">
        <v>0</v>
      </c>
      <c r="BL326" s="10">
        <v>0</v>
      </c>
      <c r="BM326" s="10">
        <v>1</v>
      </c>
      <c r="BN326" s="10">
        <v>0</v>
      </c>
      <c r="BO326" s="10">
        <v>0</v>
      </c>
      <c r="BP326" s="10">
        <v>5</v>
      </c>
      <c r="BQ326" s="10">
        <v>0</v>
      </c>
      <c r="BR326" s="10">
        <v>0</v>
      </c>
      <c r="BS326" s="10">
        <v>79</v>
      </c>
    </row>
    <row r="327" spans="1:71" x14ac:dyDescent="0.55000000000000004">
      <c r="A327" s="10">
        <v>686</v>
      </c>
      <c r="B327" s="10">
        <v>2022</v>
      </c>
      <c r="C327" s="10">
        <v>10345</v>
      </c>
      <c r="D327" s="10">
        <v>110952</v>
      </c>
      <c r="E327" s="10">
        <v>7495</v>
      </c>
      <c r="F327" s="10">
        <v>8840</v>
      </c>
      <c r="G327" s="10">
        <v>0</v>
      </c>
      <c r="H327" s="10">
        <v>0</v>
      </c>
      <c r="I327" s="10">
        <v>56559</v>
      </c>
      <c r="J327" s="10">
        <v>114</v>
      </c>
      <c r="K327" s="10">
        <v>0</v>
      </c>
      <c r="L327" s="10">
        <v>7658</v>
      </c>
      <c r="M327" s="10">
        <v>16560</v>
      </c>
      <c r="N327" s="10">
        <v>813</v>
      </c>
      <c r="O327" s="10">
        <v>2477</v>
      </c>
      <c r="P327" s="10">
        <v>31953</v>
      </c>
      <c r="Q327" s="10">
        <v>8275</v>
      </c>
      <c r="R327" s="10">
        <v>9318</v>
      </c>
      <c r="S327" s="10">
        <v>252547</v>
      </c>
      <c r="T327" s="10">
        <v>18812</v>
      </c>
      <c r="U327" s="10">
        <v>18.719864668922185</v>
      </c>
      <c r="V327" s="10">
        <v>32.75052274857596</v>
      </c>
      <c r="W327" s="10">
        <v>30.796396396396396</v>
      </c>
      <c r="X327" s="10">
        <v>18.636824549699799</v>
      </c>
      <c r="Y327" s="10">
        <v>32.777149321266968</v>
      </c>
      <c r="Z327" s="10">
        <v>0</v>
      </c>
      <c r="AA327" s="10">
        <v>0</v>
      </c>
      <c r="AB327" s="10">
        <v>42.453084389752298</v>
      </c>
      <c r="AC327" s="10">
        <v>693.25118483412325</v>
      </c>
      <c r="AD327" s="10">
        <v>0</v>
      </c>
      <c r="AE327" s="10">
        <v>23.388352050143638</v>
      </c>
      <c r="AF327" s="10">
        <v>33.601992753623186</v>
      </c>
      <c r="AG327" s="10">
        <v>47.560885608856083</v>
      </c>
      <c r="AH327" s="10">
        <v>27.158255954784014</v>
      </c>
      <c r="AI327" s="10">
        <v>46.33743310487278</v>
      </c>
      <c r="AJ327" s="10">
        <v>66.953987730061343</v>
      </c>
      <c r="AK327" s="10">
        <v>28.557220543806643</v>
      </c>
      <c r="AL327" s="10">
        <v>37.689525649280959</v>
      </c>
      <c r="AM327" s="10">
        <v>0</v>
      </c>
      <c r="AN327" s="10">
        <v>5</v>
      </c>
      <c r="AO327" s="10">
        <v>2</v>
      </c>
      <c r="AP327" s="10">
        <v>36</v>
      </c>
      <c r="AQ327" s="10">
        <v>0</v>
      </c>
      <c r="AR327" s="10">
        <v>0</v>
      </c>
      <c r="AS327" s="10">
        <v>0</v>
      </c>
      <c r="AT327" s="10">
        <v>20</v>
      </c>
      <c r="AU327" s="10">
        <v>1</v>
      </c>
      <c r="AV327" s="10">
        <v>0</v>
      </c>
      <c r="AW327" s="10">
        <v>5</v>
      </c>
      <c r="AX327" s="10">
        <v>5</v>
      </c>
      <c r="AY327" s="10">
        <v>1</v>
      </c>
      <c r="AZ327" s="10">
        <v>10</v>
      </c>
      <c r="BA327" s="10">
        <v>5</v>
      </c>
      <c r="BB327" s="10">
        <v>4</v>
      </c>
      <c r="BC327" s="10">
        <v>94</v>
      </c>
      <c r="BD327" s="10">
        <v>2</v>
      </c>
      <c r="BE327" s="10">
        <v>0</v>
      </c>
      <c r="BF327" s="10">
        <v>8</v>
      </c>
      <c r="BG327" s="10">
        <v>0</v>
      </c>
      <c r="BH327" s="10">
        <v>0</v>
      </c>
      <c r="BI327" s="10">
        <v>0</v>
      </c>
      <c r="BJ327" s="10">
        <v>10</v>
      </c>
      <c r="BK327" s="10">
        <v>0</v>
      </c>
      <c r="BL327" s="10">
        <v>0</v>
      </c>
      <c r="BM327" s="10">
        <v>0</v>
      </c>
      <c r="BN327" s="10">
        <v>0</v>
      </c>
      <c r="BO327" s="10">
        <v>0</v>
      </c>
      <c r="BP327" s="10">
        <v>8</v>
      </c>
      <c r="BQ327" s="10">
        <v>0</v>
      </c>
      <c r="BR327" s="10">
        <v>1</v>
      </c>
      <c r="BS327" s="10">
        <v>29</v>
      </c>
    </row>
    <row r="328" spans="1:71" x14ac:dyDescent="0.55000000000000004">
      <c r="A328" s="10">
        <v>575</v>
      </c>
      <c r="B328" s="10">
        <v>2022</v>
      </c>
      <c r="C328" s="10">
        <v>8815</v>
      </c>
      <c r="D328" s="10">
        <v>113116</v>
      </c>
      <c r="E328" s="10">
        <v>30289</v>
      </c>
      <c r="F328" s="10">
        <v>19568</v>
      </c>
      <c r="G328" s="10">
        <v>13439</v>
      </c>
      <c r="H328" s="10">
        <v>4730</v>
      </c>
      <c r="I328" s="10">
        <v>27615</v>
      </c>
      <c r="J328" s="10">
        <v>0</v>
      </c>
      <c r="K328" s="10">
        <v>0</v>
      </c>
      <c r="L328" s="10">
        <v>10621</v>
      </c>
      <c r="M328" s="10">
        <v>19799</v>
      </c>
      <c r="N328" s="10">
        <v>3536</v>
      </c>
      <c r="O328" s="10">
        <v>13459</v>
      </c>
      <c r="P328" s="10">
        <v>53535</v>
      </c>
      <c r="Q328" s="10">
        <v>10689</v>
      </c>
      <c r="R328" s="10">
        <v>484</v>
      </c>
      <c r="S328" s="10">
        <v>248210</v>
      </c>
      <c r="T328" s="10">
        <v>81485</v>
      </c>
      <c r="U328" s="10">
        <v>21.290073737946681</v>
      </c>
      <c r="V328" s="10">
        <v>26.889547013685064</v>
      </c>
      <c r="W328" s="10">
        <v>0</v>
      </c>
      <c r="X328" s="10">
        <v>23.527518240945557</v>
      </c>
      <c r="Y328" s="10">
        <v>26.87183156173344</v>
      </c>
      <c r="Z328" s="10">
        <v>23.598928491703251</v>
      </c>
      <c r="AA328" s="10">
        <v>18.50105708245243</v>
      </c>
      <c r="AB328" s="10">
        <v>39.105413724425127</v>
      </c>
      <c r="AC328" s="10">
        <v>50.084346504559271</v>
      </c>
      <c r="AD328" s="10">
        <v>0</v>
      </c>
      <c r="AE328" s="10">
        <v>22.929479333396099</v>
      </c>
      <c r="AF328" s="10">
        <v>46.392343047628664</v>
      </c>
      <c r="AG328" s="10">
        <v>16.328902714932127</v>
      </c>
      <c r="AH328" s="10">
        <v>18.217400995616316</v>
      </c>
      <c r="AI328" s="10">
        <v>41.310376389278041</v>
      </c>
      <c r="AJ328" s="10">
        <v>60.548507462686565</v>
      </c>
      <c r="AK328" s="10">
        <v>29.053887173730001</v>
      </c>
      <c r="AL328" s="10">
        <v>28.066115702479337</v>
      </c>
      <c r="AM328" s="10">
        <v>0</v>
      </c>
      <c r="AN328" s="10">
        <v>0</v>
      </c>
      <c r="AO328" s="10">
        <v>11</v>
      </c>
      <c r="AP328" s="10">
        <v>49</v>
      </c>
      <c r="AQ328" s="10">
        <v>14</v>
      </c>
      <c r="AR328" s="10">
        <v>7</v>
      </c>
      <c r="AS328" s="10">
        <v>3</v>
      </c>
      <c r="AT328" s="10">
        <v>15</v>
      </c>
      <c r="AU328" s="10">
        <v>7</v>
      </c>
      <c r="AV328" s="10">
        <v>0</v>
      </c>
      <c r="AW328" s="10">
        <v>3</v>
      </c>
      <c r="AX328" s="10">
        <v>10</v>
      </c>
      <c r="AY328" s="10">
        <v>2</v>
      </c>
      <c r="AZ328" s="10">
        <v>17</v>
      </c>
      <c r="BA328" s="10">
        <v>3</v>
      </c>
      <c r="BB328" s="10">
        <v>1</v>
      </c>
      <c r="BC328" s="10">
        <v>142</v>
      </c>
      <c r="BD328" s="10">
        <v>0</v>
      </c>
      <c r="BE328" s="10">
        <v>4</v>
      </c>
      <c r="BF328" s="10">
        <v>12</v>
      </c>
      <c r="BG328" s="10">
        <v>8</v>
      </c>
      <c r="BH328" s="10">
        <v>0</v>
      </c>
      <c r="BI328" s="10">
        <v>0</v>
      </c>
      <c r="BJ328" s="10">
        <v>1</v>
      </c>
      <c r="BK328" s="10">
        <v>0</v>
      </c>
      <c r="BL328" s="10">
        <v>0</v>
      </c>
      <c r="BM328" s="10">
        <v>0</v>
      </c>
      <c r="BN328" s="10">
        <v>0</v>
      </c>
      <c r="BO328" s="10">
        <v>0</v>
      </c>
      <c r="BP328" s="10">
        <v>3</v>
      </c>
      <c r="BQ328" s="10">
        <v>1</v>
      </c>
      <c r="BR328" s="10">
        <v>0</v>
      </c>
      <c r="BS328" s="10">
        <v>29</v>
      </c>
    </row>
    <row r="329" spans="1:71" x14ac:dyDescent="0.55000000000000004">
      <c r="A329" s="10">
        <v>332</v>
      </c>
      <c r="B329" s="10">
        <v>2022</v>
      </c>
      <c r="C329" s="10">
        <v>8691</v>
      </c>
      <c r="D329" s="10">
        <v>115131</v>
      </c>
      <c r="E329" s="10">
        <v>36027</v>
      </c>
      <c r="F329" s="10">
        <v>21518</v>
      </c>
      <c r="G329" s="10">
        <v>22435</v>
      </c>
      <c r="H329" s="10">
        <v>3741</v>
      </c>
      <c r="I329" s="10">
        <v>43610</v>
      </c>
      <c r="J329" s="10">
        <v>2923</v>
      </c>
      <c r="K329" s="10">
        <v>0</v>
      </c>
      <c r="L329" s="10">
        <v>9141</v>
      </c>
      <c r="M329" s="10">
        <v>16697</v>
      </c>
      <c r="N329" s="10">
        <v>1872</v>
      </c>
      <c r="O329" s="10">
        <v>14568</v>
      </c>
      <c r="P329" s="10">
        <v>31505</v>
      </c>
      <c r="Q329" s="10">
        <v>4593</v>
      </c>
      <c r="R329" s="10">
        <v>1027</v>
      </c>
      <c r="S329" s="10">
        <v>235190</v>
      </c>
      <c r="T329" s="10">
        <v>98289</v>
      </c>
      <c r="U329" s="10">
        <v>19.675871591301345</v>
      </c>
      <c r="V329" s="10">
        <v>23.819223319522976</v>
      </c>
      <c r="W329" s="10">
        <v>0</v>
      </c>
      <c r="X329" s="10">
        <v>15.804507730313375</v>
      </c>
      <c r="Y329" s="10">
        <v>30.625615763546797</v>
      </c>
      <c r="Z329" s="10">
        <v>11.235391129930912</v>
      </c>
      <c r="AA329" s="10">
        <v>13.268377439187383</v>
      </c>
      <c r="AB329" s="10">
        <v>31.27931667048842</v>
      </c>
      <c r="AC329" s="10">
        <v>50.741935483870968</v>
      </c>
      <c r="AD329" s="10">
        <v>0</v>
      </c>
      <c r="AE329" s="10">
        <v>17.736352696641507</v>
      </c>
      <c r="AF329" s="10">
        <v>35.112595076959934</v>
      </c>
      <c r="AG329" s="10">
        <v>22.346688034188038</v>
      </c>
      <c r="AH329" s="10">
        <v>16.535900604063702</v>
      </c>
      <c r="AI329" s="10">
        <v>43.339342961434696</v>
      </c>
      <c r="AJ329" s="10">
        <v>58.6</v>
      </c>
      <c r="AK329" s="10">
        <v>43.71848465055519</v>
      </c>
      <c r="AL329" s="10">
        <v>29.223953261927946</v>
      </c>
      <c r="AM329" s="10">
        <v>0</v>
      </c>
      <c r="AN329" s="10">
        <v>7</v>
      </c>
      <c r="AO329" s="10">
        <v>9</v>
      </c>
      <c r="AP329" s="10">
        <v>58</v>
      </c>
      <c r="AQ329" s="10">
        <v>19</v>
      </c>
      <c r="AR329" s="10">
        <v>10</v>
      </c>
      <c r="AS329" s="10">
        <v>2</v>
      </c>
      <c r="AT329" s="10">
        <v>21</v>
      </c>
      <c r="AU329" s="10">
        <v>5</v>
      </c>
      <c r="AV329" s="10">
        <v>0</v>
      </c>
      <c r="AW329" s="10">
        <v>1</v>
      </c>
      <c r="AX329" s="10">
        <v>6</v>
      </c>
      <c r="AY329" s="10">
        <v>1</v>
      </c>
      <c r="AZ329" s="10">
        <v>19</v>
      </c>
      <c r="BA329" s="10">
        <v>3</v>
      </c>
      <c r="BB329" s="10">
        <v>0</v>
      </c>
      <c r="BC329" s="10">
        <v>161</v>
      </c>
      <c r="BD329" s="10">
        <v>0</v>
      </c>
      <c r="BE329" s="10">
        <v>1</v>
      </c>
      <c r="BF329" s="10">
        <v>3</v>
      </c>
      <c r="BG329" s="10">
        <v>10</v>
      </c>
      <c r="BH329" s="10">
        <v>2</v>
      </c>
      <c r="BI329" s="10">
        <v>0</v>
      </c>
      <c r="BJ329" s="10">
        <v>0</v>
      </c>
      <c r="BK329" s="10">
        <v>0</v>
      </c>
      <c r="BL329" s="10">
        <v>0</v>
      </c>
      <c r="BM329" s="10">
        <v>0</v>
      </c>
      <c r="BN329" s="10">
        <v>0</v>
      </c>
      <c r="BO329" s="10">
        <v>0</v>
      </c>
      <c r="BP329" s="10">
        <v>0</v>
      </c>
      <c r="BQ329" s="10">
        <v>0</v>
      </c>
      <c r="BR329" s="10">
        <v>0</v>
      </c>
      <c r="BS329" s="10">
        <v>16</v>
      </c>
    </row>
    <row r="330" spans="1:71" x14ac:dyDescent="0.55000000000000004">
      <c r="A330" s="10">
        <v>999</v>
      </c>
      <c r="B330" s="10">
        <v>2022</v>
      </c>
      <c r="C330" s="10">
        <v>21775</v>
      </c>
      <c r="D330" s="10">
        <v>115626</v>
      </c>
      <c r="E330" s="10">
        <v>34455</v>
      </c>
      <c r="F330" s="10">
        <v>4881</v>
      </c>
      <c r="G330" s="10">
        <v>15913</v>
      </c>
      <c r="H330" s="10">
        <v>6711</v>
      </c>
      <c r="I330" s="10">
        <v>40163</v>
      </c>
      <c r="J330" s="10">
        <v>0</v>
      </c>
      <c r="K330" s="10">
        <v>0</v>
      </c>
      <c r="L330" s="10">
        <v>6344</v>
      </c>
      <c r="M330" s="10">
        <v>21632</v>
      </c>
      <c r="N330" s="10">
        <v>6071</v>
      </c>
      <c r="O330" s="10">
        <v>3007</v>
      </c>
      <c r="P330" s="10">
        <v>37214</v>
      </c>
      <c r="Q330" s="10">
        <v>10033</v>
      </c>
      <c r="R330" s="10">
        <v>15623</v>
      </c>
      <c r="S330" s="10">
        <v>274481</v>
      </c>
      <c r="T330" s="10">
        <v>64967</v>
      </c>
      <c r="U330" s="10">
        <v>17.90121699196326</v>
      </c>
      <c r="V330" s="10">
        <v>22.024060332451178</v>
      </c>
      <c r="W330" s="10">
        <v>0</v>
      </c>
      <c r="X330" s="10">
        <v>16.898273109853431</v>
      </c>
      <c r="Y330" s="10">
        <v>15.6560131120672</v>
      </c>
      <c r="Z330" s="10">
        <v>16.480173443096838</v>
      </c>
      <c r="AA330" s="10">
        <v>14.535687676948292</v>
      </c>
      <c r="AB330" s="10">
        <v>29.441475985359659</v>
      </c>
      <c r="AC330" s="10">
        <v>0</v>
      </c>
      <c r="AD330" s="10">
        <v>0</v>
      </c>
      <c r="AE330" s="10">
        <v>0</v>
      </c>
      <c r="AF330" s="10">
        <v>42.288785133136095</v>
      </c>
      <c r="AG330" s="10">
        <v>28.913029154999176</v>
      </c>
      <c r="AH330" s="10">
        <v>26.52244762221483</v>
      </c>
      <c r="AI330" s="10">
        <v>37.179905411941739</v>
      </c>
      <c r="AJ330" s="10">
        <v>0</v>
      </c>
      <c r="AK330" s="10">
        <v>27.962424000797366</v>
      </c>
      <c r="AL330" s="10">
        <v>20.308775523266977</v>
      </c>
      <c r="AM330" s="10">
        <v>0</v>
      </c>
      <c r="AN330" s="10">
        <v>8</v>
      </c>
      <c r="AO330" s="10">
        <v>0</v>
      </c>
      <c r="AP330" s="10">
        <v>33</v>
      </c>
      <c r="AQ330" s="10">
        <v>10</v>
      </c>
      <c r="AR330" s="10">
        <v>3</v>
      </c>
      <c r="AS330" s="10">
        <v>1</v>
      </c>
      <c r="AT330" s="10">
        <v>11</v>
      </c>
      <c r="AU330" s="10">
        <v>2</v>
      </c>
      <c r="AV330" s="10">
        <v>0</v>
      </c>
      <c r="AW330" s="10">
        <v>3</v>
      </c>
      <c r="AX330" s="10">
        <v>12</v>
      </c>
      <c r="AY330" s="10">
        <v>1</v>
      </c>
      <c r="AZ330" s="10">
        <v>7</v>
      </c>
      <c r="BA330" s="10">
        <v>4</v>
      </c>
      <c r="BB330" s="10">
        <v>16</v>
      </c>
      <c r="BC330" s="10">
        <v>111</v>
      </c>
      <c r="BD330" s="10">
        <v>3</v>
      </c>
      <c r="BE330" s="10">
        <v>0</v>
      </c>
      <c r="BF330" s="10">
        <v>12</v>
      </c>
      <c r="BG330" s="10">
        <v>12</v>
      </c>
      <c r="BH330" s="10">
        <v>15</v>
      </c>
      <c r="BI330" s="10">
        <v>1</v>
      </c>
      <c r="BJ330" s="10">
        <v>6</v>
      </c>
      <c r="BK330" s="10">
        <v>2</v>
      </c>
      <c r="BL330" s="10">
        <v>0</v>
      </c>
      <c r="BM330" s="10">
        <v>0</v>
      </c>
      <c r="BN330" s="10">
        <v>6</v>
      </c>
      <c r="BO330" s="10">
        <v>2</v>
      </c>
      <c r="BP330" s="10">
        <v>3</v>
      </c>
      <c r="BQ330" s="10">
        <v>2</v>
      </c>
      <c r="BR330" s="10">
        <v>6</v>
      </c>
      <c r="BS330" s="10">
        <v>70</v>
      </c>
    </row>
    <row r="331" spans="1:71" x14ac:dyDescent="0.55000000000000004">
      <c r="A331" s="10">
        <v>624</v>
      </c>
      <c r="B331" s="10">
        <v>2022</v>
      </c>
      <c r="C331" s="10">
        <v>10323</v>
      </c>
      <c r="D331" s="10">
        <v>116144</v>
      </c>
      <c r="E331" s="10">
        <v>43351</v>
      </c>
      <c r="F331" s="10">
        <v>12896</v>
      </c>
      <c r="G331" s="10">
        <v>22649</v>
      </c>
      <c r="H331" s="10">
        <v>3851</v>
      </c>
      <c r="I331" s="10">
        <v>25030</v>
      </c>
      <c r="J331" s="10">
        <v>0</v>
      </c>
      <c r="K331" s="10">
        <v>0</v>
      </c>
      <c r="L331" s="10">
        <v>15577</v>
      </c>
      <c r="M331" s="10">
        <v>16428</v>
      </c>
      <c r="N331" s="10">
        <v>15266</v>
      </c>
      <c r="O331" s="10">
        <v>7492</v>
      </c>
      <c r="P331" s="10">
        <v>60089</v>
      </c>
      <c r="Q331" s="10">
        <v>12586</v>
      </c>
      <c r="R331" s="10">
        <v>5215</v>
      </c>
      <c r="S331" s="10">
        <v>276658</v>
      </c>
      <c r="T331" s="10">
        <v>90239</v>
      </c>
      <c r="U331" s="10">
        <v>17.675675675675674</v>
      </c>
      <c r="V331" s="10">
        <v>29.263836272213801</v>
      </c>
      <c r="W331" s="10">
        <v>32.290030211480364</v>
      </c>
      <c r="X331" s="10">
        <v>19.048672464303014</v>
      </c>
      <c r="Y331" s="10">
        <v>30.687034739454095</v>
      </c>
      <c r="Z331" s="10">
        <v>16.488410084330432</v>
      </c>
      <c r="AA331" s="10">
        <v>18.976889119709167</v>
      </c>
      <c r="AB331" s="10">
        <v>40.25381542149421</v>
      </c>
      <c r="AC331" s="10">
        <v>49.139523212045169</v>
      </c>
      <c r="AD331" s="10">
        <v>0</v>
      </c>
      <c r="AE331" s="10">
        <v>0</v>
      </c>
      <c r="AF331" s="10">
        <v>42.575663501339179</v>
      </c>
      <c r="AG331" s="10">
        <v>17.368072841608804</v>
      </c>
      <c r="AH331" s="10">
        <v>24.293780032034171</v>
      </c>
      <c r="AI331" s="10">
        <v>45.395197124265671</v>
      </c>
      <c r="AJ331" s="10">
        <v>59.965156794425091</v>
      </c>
      <c r="AK331" s="10">
        <v>24.03472111870332</v>
      </c>
      <c r="AL331" s="10">
        <v>34.013998082454457</v>
      </c>
      <c r="AM331" s="10">
        <v>0</v>
      </c>
      <c r="AN331" s="10">
        <v>3</v>
      </c>
      <c r="AO331" s="10">
        <v>13</v>
      </c>
      <c r="AP331" s="10">
        <v>43</v>
      </c>
      <c r="AQ331" s="10">
        <v>13</v>
      </c>
      <c r="AR331" s="10">
        <v>9</v>
      </c>
      <c r="AS331" s="10">
        <v>2</v>
      </c>
      <c r="AT331" s="10">
        <v>6</v>
      </c>
      <c r="AU331" s="10">
        <v>3</v>
      </c>
      <c r="AV331" s="10">
        <v>0</v>
      </c>
      <c r="AW331" s="10">
        <v>0</v>
      </c>
      <c r="AX331" s="10">
        <v>10</v>
      </c>
      <c r="AY331" s="10">
        <v>1</v>
      </c>
      <c r="AZ331" s="10">
        <v>27</v>
      </c>
      <c r="BA331" s="10">
        <v>3</v>
      </c>
      <c r="BB331" s="10">
        <v>0</v>
      </c>
      <c r="BC331" s="10">
        <v>133</v>
      </c>
      <c r="BD331" s="10">
        <v>1</v>
      </c>
      <c r="BE331" s="10">
        <v>3</v>
      </c>
      <c r="BF331" s="10">
        <v>83</v>
      </c>
      <c r="BG331" s="10">
        <v>10</v>
      </c>
      <c r="BH331" s="10">
        <v>6</v>
      </c>
      <c r="BI331" s="10">
        <v>1</v>
      </c>
      <c r="BJ331" s="10">
        <v>8</v>
      </c>
      <c r="BK331" s="10">
        <v>2</v>
      </c>
      <c r="BL331" s="10">
        <v>0</v>
      </c>
      <c r="BM331" s="10">
        <v>0</v>
      </c>
      <c r="BN331" s="10">
        <v>0</v>
      </c>
      <c r="BO331" s="10">
        <v>1</v>
      </c>
      <c r="BP331" s="10">
        <v>12</v>
      </c>
      <c r="BQ331" s="10">
        <v>2</v>
      </c>
      <c r="BR331" s="10">
        <v>0</v>
      </c>
      <c r="BS331" s="10">
        <v>129</v>
      </c>
    </row>
    <row r="332" spans="1:71" x14ac:dyDescent="0.55000000000000004">
      <c r="A332" s="10">
        <v>620</v>
      </c>
      <c r="B332" s="10">
        <v>2022</v>
      </c>
      <c r="C332" s="10">
        <v>7768</v>
      </c>
      <c r="D332" s="10">
        <v>117841</v>
      </c>
      <c r="E332" s="10">
        <v>37966</v>
      </c>
      <c r="F332" s="10">
        <v>14901</v>
      </c>
      <c r="G332" s="10">
        <v>0</v>
      </c>
      <c r="H332" s="10">
        <v>0</v>
      </c>
      <c r="I332" s="10">
        <v>38737</v>
      </c>
      <c r="J332" s="10">
        <v>0</v>
      </c>
      <c r="K332" s="10">
        <v>90</v>
      </c>
      <c r="L332" s="10">
        <v>7576</v>
      </c>
      <c r="M332" s="10">
        <v>10964</v>
      </c>
      <c r="N332" s="10">
        <v>0</v>
      </c>
      <c r="O332" s="10">
        <v>3730</v>
      </c>
      <c r="P332" s="10">
        <v>46824</v>
      </c>
      <c r="Q332" s="10">
        <v>8858</v>
      </c>
      <c r="R332" s="10">
        <v>5157</v>
      </c>
      <c r="S332" s="10">
        <v>243815</v>
      </c>
      <c r="T332" s="10">
        <v>56597</v>
      </c>
      <c r="U332" s="10">
        <v>20.831359423274975</v>
      </c>
      <c r="V332" s="10">
        <v>22.945782876927385</v>
      </c>
      <c r="W332" s="10">
        <v>34.850192678227359</v>
      </c>
      <c r="X332" s="10">
        <v>18.535558130959277</v>
      </c>
      <c r="Y332" s="10">
        <v>30.328702771626066</v>
      </c>
      <c r="Z332" s="10">
        <v>0</v>
      </c>
      <c r="AA332" s="10">
        <v>0</v>
      </c>
      <c r="AB332" s="10">
        <v>31.639207992358727</v>
      </c>
      <c r="AC332" s="10">
        <v>45.900917431192667</v>
      </c>
      <c r="AD332" s="10">
        <v>16.977777777777778</v>
      </c>
      <c r="AE332" s="10">
        <v>22.161826821541709</v>
      </c>
      <c r="AF332" s="10">
        <v>53.107442539219257</v>
      </c>
      <c r="AG332" s="10">
        <v>0</v>
      </c>
      <c r="AH332" s="10">
        <v>28.189812332439676</v>
      </c>
      <c r="AI332" s="10">
        <v>45.154877840423708</v>
      </c>
      <c r="AJ332" s="10">
        <v>60.724264705882355</v>
      </c>
      <c r="AK332" s="10">
        <v>24.345563332580717</v>
      </c>
      <c r="AL332" s="10">
        <v>23.445607911576495</v>
      </c>
      <c r="AM332" s="10">
        <v>37.125</v>
      </c>
      <c r="AN332" s="10">
        <v>3</v>
      </c>
      <c r="AO332" s="10">
        <v>5</v>
      </c>
      <c r="AP332" s="10">
        <v>34</v>
      </c>
      <c r="AQ332" s="10">
        <v>0</v>
      </c>
      <c r="AR332" s="10">
        <v>0</v>
      </c>
      <c r="AS332" s="10">
        <v>2</v>
      </c>
      <c r="AT332" s="10">
        <v>11</v>
      </c>
      <c r="AU332" s="10">
        <v>5</v>
      </c>
      <c r="AV332" s="10">
        <v>4</v>
      </c>
      <c r="AW332" s="10">
        <v>1</v>
      </c>
      <c r="AX332" s="10">
        <v>4</v>
      </c>
      <c r="AY332" s="10">
        <v>9</v>
      </c>
      <c r="AZ332" s="10">
        <v>6</v>
      </c>
      <c r="BA332" s="10">
        <v>3</v>
      </c>
      <c r="BB332" s="10">
        <v>1</v>
      </c>
      <c r="BC332" s="10">
        <v>88</v>
      </c>
      <c r="BD332" s="10">
        <v>1</v>
      </c>
      <c r="BE332" s="10">
        <v>0</v>
      </c>
      <c r="BF332" s="10">
        <v>2</v>
      </c>
      <c r="BG332" s="10">
        <v>0</v>
      </c>
      <c r="BH332" s="10">
        <v>0</v>
      </c>
      <c r="BI332" s="10">
        <v>0</v>
      </c>
      <c r="BJ332" s="10">
        <v>2</v>
      </c>
      <c r="BK332" s="10">
        <v>2</v>
      </c>
      <c r="BL332" s="10">
        <v>0</v>
      </c>
      <c r="BM332" s="10">
        <v>0</v>
      </c>
      <c r="BN332" s="10">
        <v>0</v>
      </c>
      <c r="BO332" s="10">
        <v>3</v>
      </c>
      <c r="BP332" s="10">
        <v>7</v>
      </c>
      <c r="BQ332" s="10">
        <v>0</v>
      </c>
      <c r="BR332" s="10">
        <v>0</v>
      </c>
      <c r="BS332" s="10">
        <v>17</v>
      </c>
    </row>
    <row r="333" spans="1:71" x14ac:dyDescent="0.55000000000000004">
      <c r="A333" s="10">
        <v>705</v>
      </c>
      <c r="B333" s="10">
        <v>2022</v>
      </c>
      <c r="C333" s="10">
        <v>10806</v>
      </c>
      <c r="D333" s="10">
        <v>119986</v>
      </c>
      <c r="E333" s="10">
        <v>33435</v>
      </c>
      <c r="F333" s="10">
        <v>17205</v>
      </c>
      <c r="G333" s="10">
        <v>0</v>
      </c>
      <c r="H333" s="10">
        <v>0</v>
      </c>
      <c r="I333" s="10">
        <v>27049</v>
      </c>
      <c r="J333" s="10">
        <v>0</v>
      </c>
      <c r="K333" s="10">
        <v>69</v>
      </c>
      <c r="L333" s="10">
        <v>5812</v>
      </c>
      <c r="M333" s="10">
        <v>20785</v>
      </c>
      <c r="N333" s="10">
        <v>0</v>
      </c>
      <c r="O333" s="10">
        <v>4880</v>
      </c>
      <c r="P333" s="10">
        <v>23886</v>
      </c>
      <c r="Q333" s="10">
        <v>7157</v>
      </c>
      <c r="R333" s="10">
        <v>17944</v>
      </c>
      <c r="S333" s="10">
        <v>233494</v>
      </c>
      <c r="T333" s="10">
        <v>55520</v>
      </c>
      <c r="U333" s="10">
        <v>21.53627614288358</v>
      </c>
      <c r="V333" s="10">
        <v>22.939592952511124</v>
      </c>
      <c r="W333" s="10">
        <v>0</v>
      </c>
      <c r="X333" s="10">
        <v>19.491909675489755</v>
      </c>
      <c r="Y333" s="10">
        <v>25.424934612031386</v>
      </c>
      <c r="Z333" s="10">
        <v>0</v>
      </c>
      <c r="AA333" s="10">
        <v>0</v>
      </c>
      <c r="AB333" s="10">
        <v>31.294391659580761</v>
      </c>
      <c r="AC333" s="10">
        <v>0</v>
      </c>
      <c r="AD333" s="10">
        <v>9.3768115942028984</v>
      </c>
      <c r="AE333" s="10">
        <v>23.001376462491397</v>
      </c>
      <c r="AF333" s="10">
        <v>34.677507818138082</v>
      </c>
      <c r="AG333" s="10">
        <v>0</v>
      </c>
      <c r="AH333" s="10">
        <v>25.595901639344262</v>
      </c>
      <c r="AI333" s="10">
        <v>38.880390186720255</v>
      </c>
      <c r="AJ333" s="10">
        <v>0</v>
      </c>
      <c r="AK333" s="10">
        <v>24.272600251502027</v>
      </c>
      <c r="AL333" s="10">
        <v>20.763876504681232</v>
      </c>
      <c r="AM333" s="10">
        <v>0</v>
      </c>
      <c r="AN333" s="10">
        <v>3</v>
      </c>
      <c r="AO333" s="10">
        <v>5</v>
      </c>
      <c r="AP333" s="10">
        <v>36</v>
      </c>
      <c r="AQ333" s="10">
        <v>10</v>
      </c>
      <c r="AR333" s="10">
        <v>0</v>
      </c>
      <c r="AS333" s="10">
        <v>0</v>
      </c>
      <c r="AT333" s="10">
        <v>10</v>
      </c>
      <c r="AU333" s="10">
        <v>3</v>
      </c>
      <c r="AV333" s="10">
        <v>1</v>
      </c>
      <c r="AW333" s="10">
        <v>5</v>
      </c>
      <c r="AX333" s="10">
        <v>9</v>
      </c>
      <c r="AY333" s="10">
        <v>0</v>
      </c>
      <c r="AZ333" s="10">
        <v>5</v>
      </c>
      <c r="BA333" s="10">
        <v>4</v>
      </c>
      <c r="BB333" s="10">
        <v>3</v>
      </c>
      <c r="BC333" s="10">
        <v>94</v>
      </c>
      <c r="BD333" s="10">
        <v>1</v>
      </c>
      <c r="BE333" s="10">
        <v>0</v>
      </c>
      <c r="BF333" s="10">
        <v>16</v>
      </c>
      <c r="BG333" s="10">
        <v>6</v>
      </c>
      <c r="BH333" s="10">
        <v>0</v>
      </c>
      <c r="BI333" s="10">
        <v>0</v>
      </c>
      <c r="BJ333" s="10">
        <v>4</v>
      </c>
      <c r="BK333" s="10">
        <v>0</v>
      </c>
      <c r="BL333" s="10">
        <v>0</v>
      </c>
      <c r="BM333" s="10">
        <v>0</v>
      </c>
      <c r="BN333" s="10">
        <v>0</v>
      </c>
      <c r="BO333" s="10">
        <v>0</v>
      </c>
      <c r="BP333" s="10">
        <v>0</v>
      </c>
      <c r="BQ333" s="10">
        <v>0</v>
      </c>
      <c r="BR333" s="10">
        <v>1</v>
      </c>
      <c r="BS333" s="10">
        <v>28</v>
      </c>
    </row>
    <row r="334" spans="1:71" x14ac:dyDescent="0.55000000000000004">
      <c r="A334" s="10">
        <v>820</v>
      </c>
      <c r="B334" s="10">
        <v>2022</v>
      </c>
      <c r="C334" s="10">
        <v>8602</v>
      </c>
      <c r="D334" s="10">
        <v>122475</v>
      </c>
      <c r="E334" s="10">
        <v>0</v>
      </c>
      <c r="F334" s="10">
        <v>16608</v>
      </c>
      <c r="G334" s="10">
        <v>0</v>
      </c>
      <c r="H334" s="10">
        <v>0</v>
      </c>
      <c r="I334" s="10">
        <v>34919</v>
      </c>
      <c r="J334" s="10">
        <v>0</v>
      </c>
      <c r="K334" s="10">
        <v>0</v>
      </c>
      <c r="L334" s="10">
        <v>10945</v>
      </c>
      <c r="M334" s="10">
        <v>20173</v>
      </c>
      <c r="N334" s="10">
        <v>3773</v>
      </c>
      <c r="O334" s="10">
        <v>5826</v>
      </c>
      <c r="P334" s="10">
        <v>43261</v>
      </c>
      <c r="Q334" s="10">
        <v>6637</v>
      </c>
      <c r="R334" s="10">
        <v>9139</v>
      </c>
      <c r="S334" s="10">
        <v>259924</v>
      </c>
      <c r="T334" s="10">
        <v>22434</v>
      </c>
      <c r="U334" s="10">
        <v>24.976168332945829</v>
      </c>
      <c r="V334" s="10">
        <v>25.539187589303939</v>
      </c>
      <c r="W334" s="10">
        <v>0</v>
      </c>
      <c r="X334" s="10">
        <v>0</v>
      </c>
      <c r="Y334" s="10">
        <v>30.639210019267821</v>
      </c>
      <c r="Z334" s="10">
        <v>0</v>
      </c>
      <c r="AA334" s="10">
        <v>0</v>
      </c>
      <c r="AB334" s="10">
        <v>34.631547295168815</v>
      </c>
      <c r="AC334" s="10">
        <v>0</v>
      </c>
      <c r="AD334" s="10">
        <v>0</v>
      </c>
      <c r="AE334" s="10">
        <v>22.687528551850161</v>
      </c>
      <c r="AF334" s="10">
        <v>45.089228176275221</v>
      </c>
      <c r="AG334" s="10">
        <v>27.973760932944604</v>
      </c>
      <c r="AH334" s="10">
        <v>25.124442155853071</v>
      </c>
      <c r="AI334" s="10">
        <v>43.524675804997578</v>
      </c>
      <c r="AJ334" s="10">
        <v>0</v>
      </c>
      <c r="AK334" s="10">
        <v>28.98056350760886</v>
      </c>
      <c r="AL334" s="10">
        <v>24.226282963125069</v>
      </c>
      <c r="AM334" s="10">
        <v>0</v>
      </c>
      <c r="AN334" s="10">
        <v>5</v>
      </c>
      <c r="AO334" s="10">
        <v>7</v>
      </c>
      <c r="AP334" s="10">
        <v>38</v>
      </c>
      <c r="AQ334" s="10">
        <v>0</v>
      </c>
      <c r="AR334" s="10">
        <v>0</v>
      </c>
      <c r="AS334" s="10">
        <v>0</v>
      </c>
      <c r="AT334" s="10">
        <v>8</v>
      </c>
      <c r="AU334" s="10">
        <v>2</v>
      </c>
      <c r="AV334" s="10">
        <v>0</v>
      </c>
      <c r="AW334" s="10">
        <v>3</v>
      </c>
      <c r="AX334" s="10">
        <v>11</v>
      </c>
      <c r="AY334" s="10">
        <v>1</v>
      </c>
      <c r="AZ334" s="10">
        <v>8</v>
      </c>
      <c r="BA334" s="10">
        <v>4</v>
      </c>
      <c r="BB334" s="10">
        <v>4</v>
      </c>
      <c r="BC334" s="10">
        <v>91</v>
      </c>
      <c r="BD334" s="10">
        <v>0</v>
      </c>
      <c r="BE334" s="10">
        <v>3</v>
      </c>
      <c r="BF334" s="10">
        <v>11</v>
      </c>
      <c r="BG334" s="10">
        <v>0</v>
      </c>
      <c r="BH334" s="10">
        <v>0</v>
      </c>
      <c r="BI334" s="10">
        <v>0</v>
      </c>
      <c r="BJ334" s="10">
        <v>8</v>
      </c>
      <c r="BK334" s="10">
        <v>0</v>
      </c>
      <c r="BL334" s="10">
        <v>0</v>
      </c>
      <c r="BM334" s="10">
        <v>1</v>
      </c>
      <c r="BN334" s="10">
        <v>0</v>
      </c>
      <c r="BO334" s="10">
        <v>1</v>
      </c>
      <c r="BP334" s="10">
        <v>4</v>
      </c>
      <c r="BQ334" s="10">
        <v>0</v>
      </c>
      <c r="BR334" s="10">
        <v>1</v>
      </c>
      <c r="BS334" s="10">
        <v>29</v>
      </c>
    </row>
    <row r="335" spans="1:71" x14ac:dyDescent="0.55000000000000004">
      <c r="A335" s="10">
        <v>232</v>
      </c>
      <c r="B335" s="10">
        <v>2022</v>
      </c>
      <c r="C335" s="10">
        <v>13998</v>
      </c>
      <c r="D335" s="10">
        <v>133276</v>
      </c>
      <c r="E335" s="10">
        <v>70902</v>
      </c>
      <c r="F335" s="10">
        <v>15371</v>
      </c>
      <c r="G335" s="10">
        <v>19051</v>
      </c>
      <c r="H335" s="10">
        <v>0</v>
      </c>
      <c r="I335" s="10">
        <v>14314</v>
      </c>
      <c r="J335" s="10">
        <v>0</v>
      </c>
      <c r="K335" s="10">
        <v>0</v>
      </c>
      <c r="L335" s="10">
        <v>11954</v>
      </c>
      <c r="M335" s="10">
        <v>20623</v>
      </c>
      <c r="N335" s="10">
        <v>3338</v>
      </c>
      <c r="O335" s="10">
        <v>3450</v>
      </c>
      <c r="P335" s="10">
        <v>34857</v>
      </c>
      <c r="Q335" s="10">
        <v>10083</v>
      </c>
      <c r="R335" s="10">
        <v>24872</v>
      </c>
      <c r="S335" s="10">
        <v>267315</v>
      </c>
      <c r="T335" s="10">
        <v>108774</v>
      </c>
      <c r="U335" s="10">
        <v>18.140091441634517</v>
      </c>
      <c r="V335" s="10">
        <v>22.240373360545036</v>
      </c>
      <c r="W335" s="10">
        <v>0</v>
      </c>
      <c r="X335" s="10">
        <v>17.41826746777242</v>
      </c>
      <c r="Y335" s="10">
        <v>27.081972545702946</v>
      </c>
      <c r="Z335" s="10">
        <v>17.615400766363969</v>
      </c>
      <c r="AA335" s="10">
        <v>0</v>
      </c>
      <c r="AB335" s="10">
        <v>31.950957104932233</v>
      </c>
      <c r="AC335" s="10">
        <v>0</v>
      </c>
      <c r="AD335" s="10">
        <v>0</v>
      </c>
      <c r="AE335" s="10">
        <v>0</v>
      </c>
      <c r="AF335" s="10">
        <v>30.791688891043979</v>
      </c>
      <c r="AG335" s="10">
        <v>30.571300179748352</v>
      </c>
      <c r="AH335" s="10">
        <v>17.602608695652176</v>
      </c>
      <c r="AI335" s="10">
        <v>38.94537682531486</v>
      </c>
      <c r="AJ335" s="10">
        <v>0</v>
      </c>
      <c r="AK335" s="10">
        <v>26.296538728553006</v>
      </c>
      <c r="AL335" s="10">
        <v>24.385212286908974</v>
      </c>
      <c r="AM335" s="10">
        <v>0</v>
      </c>
      <c r="AN335" s="10">
        <v>12</v>
      </c>
      <c r="AO335" s="10">
        <v>7</v>
      </c>
      <c r="AP335" s="10">
        <v>58</v>
      </c>
      <c r="AQ335" s="10">
        <v>42</v>
      </c>
      <c r="AR335" s="10">
        <v>18</v>
      </c>
      <c r="AS335" s="10">
        <v>0</v>
      </c>
      <c r="AT335" s="10">
        <v>4</v>
      </c>
      <c r="AU335" s="10">
        <v>11</v>
      </c>
      <c r="AV335" s="10">
        <v>0</v>
      </c>
      <c r="AW335" s="10">
        <v>5</v>
      </c>
      <c r="AX335" s="10">
        <v>7</v>
      </c>
      <c r="AY335" s="10">
        <v>2</v>
      </c>
      <c r="AZ335" s="10">
        <v>13</v>
      </c>
      <c r="BA335" s="10">
        <v>5</v>
      </c>
      <c r="BB335" s="10">
        <v>12</v>
      </c>
      <c r="BC335" s="10">
        <v>196</v>
      </c>
      <c r="BD335" s="10">
        <v>2</v>
      </c>
      <c r="BE335" s="10">
        <v>10</v>
      </c>
      <c r="BF335" s="10">
        <v>15</v>
      </c>
      <c r="BG335" s="10">
        <v>36</v>
      </c>
      <c r="BH335" s="10">
        <v>1</v>
      </c>
      <c r="BI335" s="10">
        <v>0</v>
      </c>
      <c r="BJ335" s="10">
        <v>4</v>
      </c>
      <c r="BK335" s="10">
        <v>0</v>
      </c>
      <c r="BL335" s="10">
        <v>0</v>
      </c>
      <c r="BM335" s="10">
        <v>0</v>
      </c>
      <c r="BN335" s="10">
        <v>0</v>
      </c>
      <c r="BO335" s="10">
        <v>0</v>
      </c>
      <c r="BP335" s="10">
        <v>8</v>
      </c>
      <c r="BQ335" s="10">
        <v>0</v>
      </c>
      <c r="BR335" s="10">
        <v>3</v>
      </c>
      <c r="BS335" s="10">
        <v>79</v>
      </c>
    </row>
    <row r="336" spans="1:71" x14ac:dyDescent="0.55000000000000004">
      <c r="A336" s="10">
        <v>605</v>
      </c>
      <c r="B336" s="10">
        <v>2022</v>
      </c>
      <c r="C336" s="10">
        <v>18339</v>
      </c>
      <c r="D336" s="10">
        <v>142872</v>
      </c>
      <c r="E336" s="10">
        <v>45411</v>
      </c>
      <c r="F336" s="10">
        <v>9371</v>
      </c>
      <c r="G336" s="10">
        <v>27447</v>
      </c>
      <c r="H336" s="10">
        <v>13029</v>
      </c>
      <c r="I336" s="10">
        <v>34743</v>
      </c>
      <c r="J336" s="10">
        <v>359</v>
      </c>
      <c r="K336" s="10">
        <v>0</v>
      </c>
      <c r="L336" s="10">
        <v>11169</v>
      </c>
      <c r="M336" s="10">
        <v>20651</v>
      </c>
      <c r="N336" s="10">
        <v>5916</v>
      </c>
      <c r="O336" s="10">
        <v>9313</v>
      </c>
      <c r="P336" s="10">
        <v>43458</v>
      </c>
      <c r="Q336" s="10">
        <v>9759</v>
      </c>
      <c r="R336" s="10">
        <v>20288</v>
      </c>
      <c r="S336" s="10">
        <v>307554</v>
      </c>
      <c r="T336" s="10">
        <v>104571</v>
      </c>
      <c r="U336" s="10">
        <v>18.993456567969901</v>
      </c>
      <c r="V336" s="10">
        <v>24.120079511730783</v>
      </c>
      <c r="W336" s="10">
        <v>30.565217391304348</v>
      </c>
      <c r="X336" s="10">
        <v>18.67115897029354</v>
      </c>
      <c r="Y336" s="10">
        <v>28.799381069256214</v>
      </c>
      <c r="Z336" s="10">
        <v>19.367143950158486</v>
      </c>
      <c r="AA336" s="10">
        <v>19.357740425205311</v>
      </c>
      <c r="AB336" s="10">
        <v>35.425668479981582</v>
      </c>
      <c r="AC336" s="10">
        <v>50.161392405063289</v>
      </c>
      <c r="AD336" s="10">
        <v>0</v>
      </c>
      <c r="AE336" s="10">
        <v>24.861491628614917</v>
      </c>
      <c r="AF336" s="10">
        <v>42.431843494261784</v>
      </c>
      <c r="AG336" s="10">
        <v>26.523326572008116</v>
      </c>
      <c r="AH336" s="10">
        <v>26.550520777407925</v>
      </c>
      <c r="AI336" s="10">
        <v>46.526347277831469</v>
      </c>
      <c r="AJ336" s="10">
        <v>60.679110567115458</v>
      </c>
      <c r="AK336" s="10">
        <v>32.492161082078084</v>
      </c>
      <c r="AL336" s="10">
        <v>24.66172121451104</v>
      </c>
      <c r="AM336" s="10">
        <v>0</v>
      </c>
      <c r="AN336" s="10">
        <v>7</v>
      </c>
      <c r="AO336" s="10">
        <v>2</v>
      </c>
      <c r="AP336" s="10">
        <v>53</v>
      </c>
      <c r="AQ336" s="10">
        <v>16</v>
      </c>
      <c r="AR336" s="10">
        <v>11</v>
      </c>
      <c r="AS336" s="10">
        <v>4</v>
      </c>
      <c r="AT336" s="10">
        <v>8</v>
      </c>
      <c r="AU336" s="10">
        <v>4</v>
      </c>
      <c r="AV336" s="10">
        <v>0</v>
      </c>
      <c r="AW336" s="10">
        <v>5</v>
      </c>
      <c r="AX336" s="10">
        <v>9</v>
      </c>
      <c r="AY336" s="10">
        <v>3</v>
      </c>
      <c r="AZ336" s="10">
        <v>8</v>
      </c>
      <c r="BA336" s="10">
        <v>5</v>
      </c>
      <c r="BB336" s="10">
        <v>9</v>
      </c>
      <c r="BC336" s="10">
        <v>144</v>
      </c>
      <c r="BD336" s="10">
        <v>2</v>
      </c>
      <c r="BE336" s="10">
        <v>5</v>
      </c>
      <c r="BF336" s="10">
        <v>18</v>
      </c>
      <c r="BG336" s="10">
        <v>14</v>
      </c>
      <c r="BH336" s="10">
        <v>5</v>
      </c>
      <c r="BI336" s="10">
        <v>4</v>
      </c>
      <c r="BJ336" s="10">
        <v>6</v>
      </c>
      <c r="BK336" s="10">
        <v>0</v>
      </c>
      <c r="BL336" s="10">
        <v>0</v>
      </c>
      <c r="BM336" s="10">
        <v>0</v>
      </c>
      <c r="BN336" s="10">
        <v>2</v>
      </c>
      <c r="BO336" s="10">
        <v>0</v>
      </c>
      <c r="BP336" s="10">
        <v>7</v>
      </c>
      <c r="BQ336" s="10">
        <v>0</v>
      </c>
      <c r="BR336" s="10">
        <v>3</v>
      </c>
      <c r="BS336" s="10">
        <v>66</v>
      </c>
    </row>
    <row r="337" spans="1:71" x14ac:dyDescent="0.55000000000000004">
      <c r="A337" s="10">
        <v>291</v>
      </c>
      <c r="B337" s="10">
        <v>2022</v>
      </c>
      <c r="C337" s="10">
        <v>19889</v>
      </c>
      <c r="D337" s="10">
        <v>145009</v>
      </c>
      <c r="E337" s="10">
        <v>42237</v>
      </c>
      <c r="F337" s="10">
        <v>9897</v>
      </c>
      <c r="G337" s="10">
        <v>15259</v>
      </c>
      <c r="H337" s="10">
        <v>7816</v>
      </c>
      <c r="I337" s="10">
        <v>24908</v>
      </c>
      <c r="J337" s="10">
        <v>0</v>
      </c>
      <c r="K337" s="10">
        <v>0</v>
      </c>
      <c r="L337" s="10">
        <v>12903</v>
      </c>
      <c r="M337" s="10">
        <v>12290</v>
      </c>
      <c r="N337" s="10">
        <v>1394</v>
      </c>
      <c r="O337" s="10">
        <v>10798</v>
      </c>
      <c r="P337" s="10">
        <v>23365</v>
      </c>
      <c r="Q337" s="10">
        <v>6232</v>
      </c>
      <c r="R337" s="10">
        <v>25097</v>
      </c>
      <c r="S337" s="10">
        <v>271087</v>
      </c>
      <c r="T337" s="10">
        <v>86007</v>
      </c>
      <c r="U337" s="10">
        <v>21.139624918296548</v>
      </c>
      <c r="V337" s="10">
        <v>25.495224434345452</v>
      </c>
      <c r="W337" s="10">
        <v>41.83078058682414</v>
      </c>
      <c r="X337" s="10">
        <v>21.188057863958139</v>
      </c>
      <c r="Y337" s="10">
        <v>32.560169748408612</v>
      </c>
      <c r="Z337" s="10">
        <v>19.730257552919586</v>
      </c>
      <c r="AA337" s="10">
        <v>18.906090071647903</v>
      </c>
      <c r="AB337" s="10">
        <v>33.207363096193994</v>
      </c>
      <c r="AC337" s="10">
        <v>56.759259259259252</v>
      </c>
      <c r="AD337" s="10">
        <v>0</v>
      </c>
      <c r="AE337" s="10">
        <v>24.166317910563432</v>
      </c>
      <c r="AF337" s="10">
        <v>41.971928397070783</v>
      </c>
      <c r="AG337" s="10">
        <v>26.266140602582496</v>
      </c>
      <c r="AH337" s="10">
        <v>28.283385812187444</v>
      </c>
      <c r="AI337" s="10">
        <v>41.532377487695271</v>
      </c>
      <c r="AJ337" s="10">
        <v>63.115676359039192</v>
      </c>
      <c r="AK337" s="10">
        <v>25.844351732991015</v>
      </c>
      <c r="AL337" s="10">
        <v>26.804598159142525</v>
      </c>
      <c r="AM337" s="10">
        <v>0</v>
      </c>
      <c r="AN337" s="10">
        <v>9</v>
      </c>
      <c r="AO337" s="10">
        <v>4</v>
      </c>
      <c r="AP337" s="10">
        <v>55</v>
      </c>
      <c r="AQ337" s="10">
        <v>14</v>
      </c>
      <c r="AR337" s="10">
        <v>8</v>
      </c>
      <c r="AS337" s="10">
        <v>3</v>
      </c>
      <c r="AT337" s="10">
        <v>10</v>
      </c>
      <c r="AU337" s="10">
        <v>6</v>
      </c>
      <c r="AV337" s="10">
        <v>0</v>
      </c>
      <c r="AW337" s="10">
        <v>7</v>
      </c>
      <c r="AX337" s="10">
        <v>6</v>
      </c>
      <c r="AY337" s="10">
        <v>1</v>
      </c>
      <c r="AZ337" s="10">
        <v>8</v>
      </c>
      <c r="BA337" s="10">
        <v>2</v>
      </c>
      <c r="BB337" s="10">
        <v>14</v>
      </c>
      <c r="BC337" s="10">
        <v>147</v>
      </c>
      <c r="BD337" s="10">
        <v>10</v>
      </c>
      <c r="BE337" s="10">
        <v>2</v>
      </c>
      <c r="BF337" s="10">
        <v>62</v>
      </c>
      <c r="BG337" s="10">
        <v>19</v>
      </c>
      <c r="BH337" s="10">
        <v>1</v>
      </c>
      <c r="BI337" s="10">
        <v>1</v>
      </c>
      <c r="BJ337" s="10">
        <v>4</v>
      </c>
      <c r="BK337" s="10">
        <v>0</v>
      </c>
      <c r="BL337" s="10">
        <v>0</v>
      </c>
      <c r="BM337" s="10">
        <v>6</v>
      </c>
      <c r="BN337" s="10">
        <v>1</v>
      </c>
      <c r="BO337" s="10">
        <v>0</v>
      </c>
      <c r="BP337" s="10">
        <v>5</v>
      </c>
      <c r="BQ337" s="10">
        <v>0</v>
      </c>
      <c r="BR337" s="10">
        <v>8</v>
      </c>
      <c r="BS337" s="10">
        <v>119</v>
      </c>
    </row>
    <row r="338" spans="1:71" x14ac:dyDescent="0.55000000000000004">
      <c r="A338" s="10">
        <v>699</v>
      </c>
      <c r="B338" s="10">
        <v>2022</v>
      </c>
      <c r="C338" s="10">
        <v>9460</v>
      </c>
      <c r="D338" s="10">
        <v>157691</v>
      </c>
      <c r="E338" s="10">
        <v>35229</v>
      </c>
      <c r="F338" s="10">
        <v>9033</v>
      </c>
      <c r="G338" s="10">
        <v>29822</v>
      </c>
      <c r="H338" s="10">
        <v>1590</v>
      </c>
      <c r="I338" s="10">
        <v>53062</v>
      </c>
      <c r="J338" s="10">
        <v>0</v>
      </c>
      <c r="K338" s="10">
        <v>0</v>
      </c>
      <c r="L338" s="10">
        <v>7748</v>
      </c>
      <c r="M338" s="10">
        <v>15941</v>
      </c>
      <c r="N338" s="10">
        <v>2080</v>
      </c>
      <c r="O338" s="10">
        <v>5374</v>
      </c>
      <c r="P338" s="10">
        <v>40157</v>
      </c>
      <c r="Q338" s="10">
        <v>7637</v>
      </c>
      <c r="R338" s="10">
        <v>403</v>
      </c>
      <c r="S338" s="10">
        <v>294179</v>
      </c>
      <c r="T338" s="10">
        <v>81048</v>
      </c>
      <c r="U338" s="10">
        <v>22.281501057082455</v>
      </c>
      <c r="V338" s="10">
        <v>21.818321908035337</v>
      </c>
      <c r="W338" s="10">
        <v>0</v>
      </c>
      <c r="X338" s="10">
        <v>17.470805302449687</v>
      </c>
      <c r="Y338" s="10">
        <v>32.609985608325033</v>
      </c>
      <c r="Z338" s="10">
        <v>17.198108778753941</v>
      </c>
      <c r="AA338" s="10">
        <v>18.743396226415094</v>
      </c>
      <c r="AB338" s="10">
        <v>32.533017978967997</v>
      </c>
      <c r="AC338" s="10">
        <v>0</v>
      </c>
      <c r="AD338" s="10">
        <v>0</v>
      </c>
      <c r="AE338" s="10">
        <v>23.316726897263809</v>
      </c>
      <c r="AF338" s="10">
        <v>42.606172762060098</v>
      </c>
      <c r="AG338" s="10">
        <v>30.639423076923077</v>
      </c>
      <c r="AH338" s="10">
        <v>22.904354298474136</v>
      </c>
      <c r="AI338" s="10">
        <v>40.886669820952761</v>
      </c>
      <c r="AJ338" s="10">
        <v>0</v>
      </c>
      <c r="AK338" s="10">
        <v>27.675003273536728</v>
      </c>
      <c r="AL338" s="10">
        <v>19.535980148883372</v>
      </c>
      <c r="AM338" s="10">
        <v>0</v>
      </c>
      <c r="AN338" s="10">
        <v>2</v>
      </c>
      <c r="AO338" s="10">
        <v>4</v>
      </c>
      <c r="AP338" s="10">
        <v>14</v>
      </c>
      <c r="AQ338" s="10">
        <v>8</v>
      </c>
      <c r="AR338" s="10">
        <v>10</v>
      </c>
      <c r="AS338" s="10">
        <v>1</v>
      </c>
      <c r="AT338" s="10">
        <v>2</v>
      </c>
      <c r="AU338" s="10">
        <v>2</v>
      </c>
      <c r="AV338" s="10">
        <v>0</v>
      </c>
      <c r="AW338" s="10">
        <v>1</v>
      </c>
      <c r="AX338" s="10">
        <v>7</v>
      </c>
      <c r="AY338" s="10">
        <v>1</v>
      </c>
      <c r="AZ338" s="10">
        <v>6</v>
      </c>
      <c r="BA338" s="10">
        <v>6</v>
      </c>
      <c r="BB338" s="10">
        <v>0</v>
      </c>
      <c r="BC338" s="10">
        <v>64</v>
      </c>
      <c r="BD338" s="10">
        <v>1</v>
      </c>
      <c r="BE338" s="10">
        <v>3</v>
      </c>
      <c r="BF338" s="10">
        <v>51</v>
      </c>
      <c r="BG338" s="10">
        <v>17</v>
      </c>
      <c r="BH338" s="10">
        <v>4</v>
      </c>
      <c r="BI338" s="10">
        <v>0</v>
      </c>
      <c r="BJ338" s="10">
        <v>18</v>
      </c>
      <c r="BK338" s="10">
        <v>3</v>
      </c>
      <c r="BL338" s="10">
        <v>0</v>
      </c>
      <c r="BM338" s="10">
        <v>3</v>
      </c>
      <c r="BN338" s="10">
        <v>3</v>
      </c>
      <c r="BO338" s="10">
        <v>0</v>
      </c>
      <c r="BP338" s="10">
        <v>8</v>
      </c>
      <c r="BQ338" s="10">
        <v>1</v>
      </c>
      <c r="BR338" s="10">
        <v>0</v>
      </c>
      <c r="BS338" s="10">
        <v>112</v>
      </c>
    </row>
    <row r="339" spans="1:71" x14ac:dyDescent="0.55000000000000004">
      <c r="A339" s="10">
        <v>560</v>
      </c>
      <c r="B339" s="10">
        <v>2022</v>
      </c>
      <c r="C339" s="10">
        <v>11799</v>
      </c>
      <c r="D339" s="10">
        <v>161997</v>
      </c>
      <c r="E339" s="10">
        <v>70852</v>
      </c>
      <c r="F339" s="10">
        <v>18962</v>
      </c>
      <c r="G339" s="10">
        <v>2160</v>
      </c>
      <c r="H339" s="10">
        <v>0</v>
      </c>
      <c r="I339" s="10">
        <v>35815</v>
      </c>
      <c r="J339" s="10">
        <v>0</v>
      </c>
      <c r="K339" s="10">
        <v>0</v>
      </c>
      <c r="L339" s="10">
        <v>12154</v>
      </c>
      <c r="M339" s="10">
        <v>30758</v>
      </c>
      <c r="N339" s="10">
        <v>585</v>
      </c>
      <c r="O339" s="10">
        <v>22105</v>
      </c>
      <c r="P339" s="10">
        <v>74849</v>
      </c>
      <c r="Q339" s="10">
        <v>15975</v>
      </c>
      <c r="R339" s="10">
        <v>5326</v>
      </c>
      <c r="S339" s="10">
        <v>349258</v>
      </c>
      <c r="T339" s="10">
        <v>114079</v>
      </c>
      <c r="U339" s="10">
        <v>20.484871599288077</v>
      </c>
      <c r="V339" s="10">
        <v>22.907948912634186</v>
      </c>
      <c r="W339" s="10">
        <v>32.760004807114527</v>
      </c>
      <c r="X339" s="10">
        <v>19.25537740642466</v>
      </c>
      <c r="Y339" s="10">
        <v>25.156629047568821</v>
      </c>
      <c r="Z339" s="10">
        <v>22.786111111111111</v>
      </c>
      <c r="AA339" s="10">
        <v>0</v>
      </c>
      <c r="AB339" s="10">
        <v>33.444227279073019</v>
      </c>
      <c r="AC339" s="10">
        <v>47.007058823529412</v>
      </c>
      <c r="AD339" s="10">
        <v>0</v>
      </c>
      <c r="AE339" s="10">
        <v>25.907766990291265</v>
      </c>
      <c r="AF339" s="10">
        <v>48.637427661096304</v>
      </c>
      <c r="AG339" s="10">
        <v>18.641025641025642</v>
      </c>
      <c r="AH339" s="10">
        <v>22.595521375254467</v>
      </c>
      <c r="AI339" s="10">
        <v>48.05942631164077</v>
      </c>
      <c r="AJ339" s="10">
        <v>-26.357142857142858</v>
      </c>
      <c r="AK339" s="10">
        <v>28.71449139280125</v>
      </c>
      <c r="AL339" s="10">
        <v>25.149079984979345</v>
      </c>
      <c r="AM339" s="10">
        <v>0</v>
      </c>
      <c r="AN339" s="10">
        <v>5</v>
      </c>
      <c r="AO339" s="10">
        <v>5</v>
      </c>
      <c r="AP339" s="10">
        <v>60</v>
      </c>
      <c r="AQ339" s="10">
        <v>24</v>
      </c>
      <c r="AR339" s="10">
        <v>1</v>
      </c>
      <c r="AS339" s="10">
        <v>0</v>
      </c>
      <c r="AT339" s="10">
        <v>11</v>
      </c>
      <c r="AU339" s="10">
        <v>10</v>
      </c>
      <c r="AV339" s="10">
        <v>0</v>
      </c>
      <c r="AW339" s="10">
        <v>5</v>
      </c>
      <c r="AX339" s="10">
        <v>15</v>
      </c>
      <c r="AY339" s="10">
        <v>0</v>
      </c>
      <c r="AZ339" s="10">
        <v>20</v>
      </c>
      <c r="BA339" s="10">
        <v>7</v>
      </c>
      <c r="BB339" s="10">
        <v>6</v>
      </c>
      <c r="BC339" s="10">
        <v>169</v>
      </c>
      <c r="BD339" s="10">
        <v>1</v>
      </c>
      <c r="BE339" s="10">
        <v>5</v>
      </c>
      <c r="BF339" s="10">
        <v>21</v>
      </c>
      <c r="BG339" s="10">
        <v>16</v>
      </c>
      <c r="BH339" s="10">
        <v>0</v>
      </c>
      <c r="BI339" s="10">
        <v>0</v>
      </c>
      <c r="BJ339" s="10">
        <v>5</v>
      </c>
      <c r="BK339" s="10">
        <v>3</v>
      </c>
      <c r="BL339" s="10">
        <v>0</v>
      </c>
      <c r="BM339" s="10">
        <v>0</v>
      </c>
      <c r="BN339" s="10">
        <v>2</v>
      </c>
      <c r="BO339" s="10">
        <v>0</v>
      </c>
      <c r="BP339" s="10">
        <v>28</v>
      </c>
      <c r="BQ339" s="10">
        <v>0</v>
      </c>
      <c r="BR339" s="10">
        <v>0</v>
      </c>
      <c r="BS339" s="10">
        <v>81</v>
      </c>
    </row>
    <row r="340" spans="1:71" x14ac:dyDescent="0.55000000000000004">
      <c r="A340" s="10">
        <v>293</v>
      </c>
      <c r="B340" s="10">
        <v>2022</v>
      </c>
      <c r="C340" s="10">
        <v>43408</v>
      </c>
      <c r="D340" s="10">
        <v>162522</v>
      </c>
      <c r="E340" s="10">
        <v>47656</v>
      </c>
      <c r="F340" s="10">
        <v>28081</v>
      </c>
      <c r="G340" s="10">
        <v>25157</v>
      </c>
      <c r="H340" s="10">
        <v>16654</v>
      </c>
      <c r="I340" s="10">
        <v>60035</v>
      </c>
      <c r="J340" s="10">
        <v>0</v>
      </c>
      <c r="K340" s="10">
        <v>0</v>
      </c>
      <c r="L340" s="10">
        <v>20206</v>
      </c>
      <c r="M340" s="10">
        <v>12956</v>
      </c>
      <c r="N340" s="10">
        <v>29537</v>
      </c>
      <c r="O340" s="10">
        <v>8539</v>
      </c>
      <c r="P340" s="10">
        <v>40238</v>
      </c>
      <c r="Q340" s="10">
        <v>14756</v>
      </c>
      <c r="R340" s="10">
        <v>26060</v>
      </c>
      <c r="S340" s="10">
        <v>409718</v>
      </c>
      <c r="T340" s="10">
        <v>126087</v>
      </c>
      <c r="U340" s="10">
        <v>17.301142646516773</v>
      </c>
      <c r="V340" s="10">
        <v>24.310001107542362</v>
      </c>
      <c r="W340" s="10">
        <v>0</v>
      </c>
      <c r="X340" s="10">
        <v>17.052144535840188</v>
      </c>
      <c r="Y340" s="10">
        <v>46.414515152594277</v>
      </c>
      <c r="Z340" s="10">
        <v>16.191875024843981</v>
      </c>
      <c r="AA340" s="10">
        <v>16.309655338056924</v>
      </c>
      <c r="AB340" s="10">
        <v>30.717698009494459</v>
      </c>
      <c r="AC340" s="10">
        <v>0</v>
      </c>
      <c r="AD340" s="10">
        <v>0</v>
      </c>
      <c r="AE340" s="10">
        <v>22.777986736612885</v>
      </c>
      <c r="AF340" s="10">
        <v>43.494211176288978</v>
      </c>
      <c r="AG340" s="10">
        <v>22.967938517791247</v>
      </c>
      <c r="AH340" s="10">
        <v>25.059725963227546</v>
      </c>
      <c r="AI340" s="10">
        <v>40.311869377205632</v>
      </c>
      <c r="AJ340" s="10">
        <v>0</v>
      </c>
      <c r="AK340" s="10">
        <v>30.01538357278395</v>
      </c>
      <c r="AL340" s="10">
        <v>27.090138142747502</v>
      </c>
      <c r="AM340" s="10">
        <v>0</v>
      </c>
      <c r="AN340" s="10">
        <v>16</v>
      </c>
      <c r="AO340" s="10">
        <v>13</v>
      </c>
      <c r="AP340" s="10">
        <v>63</v>
      </c>
      <c r="AQ340" s="10">
        <v>20</v>
      </c>
      <c r="AR340" s="10">
        <v>13</v>
      </c>
      <c r="AS340" s="10">
        <v>7</v>
      </c>
      <c r="AT340" s="10">
        <v>26</v>
      </c>
      <c r="AU340" s="10">
        <v>4</v>
      </c>
      <c r="AV340" s="10">
        <v>0</v>
      </c>
      <c r="AW340" s="10">
        <v>9</v>
      </c>
      <c r="AX340" s="10">
        <v>6</v>
      </c>
      <c r="AY340" s="10">
        <v>15</v>
      </c>
      <c r="AZ340" s="10">
        <v>18</v>
      </c>
      <c r="BA340" s="10">
        <v>6</v>
      </c>
      <c r="BB340" s="10">
        <v>7</v>
      </c>
      <c r="BC340" s="10">
        <v>223</v>
      </c>
      <c r="BD340" s="10">
        <v>23</v>
      </c>
      <c r="BE340" s="10">
        <v>0</v>
      </c>
      <c r="BF340" s="10">
        <v>43</v>
      </c>
      <c r="BG340" s="10">
        <v>35</v>
      </c>
      <c r="BH340" s="10">
        <v>0</v>
      </c>
      <c r="BI340" s="10">
        <v>1</v>
      </c>
      <c r="BJ340" s="10">
        <v>5</v>
      </c>
      <c r="BK340" s="10">
        <v>0</v>
      </c>
      <c r="BL340" s="10">
        <v>0</v>
      </c>
      <c r="BM340" s="10">
        <v>0</v>
      </c>
      <c r="BN340" s="10">
        <v>6</v>
      </c>
      <c r="BO340" s="10">
        <v>24</v>
      </c>
      <c r="BP340" s="10">
        <v>7</v>
      </c>
      <c r="BQ340" s="10">
        <v>1</v>
      </c>
      <c r="BR340" s="10">
        <v>1</v>
      </c>
      <c r="BS340" s="10">
        <v>146</v>
      </c>
    </row>
    <row r="341" spans="1:71" x14ac:dyDescent="0.55000000000000004">
      <c r="A341" s="10">
        <v>867</v>
      </c>
      <c r="B341" s="10">
        <v>2022</v>
      </c>
      <c r="C341" s="10">
        <v>16878</v>
      </c>
      <c r="D341" s="10">
        <v>162532</v>
      </c>
      <c r="E341" s="10">
        <v>90303</v>
      </c>
      <c r="F341" s="10">
        <v>13673</v>
      </c>
      <c r="G341" s="10">
        <v>38264</v>
      </c>
      <c r="H341" s="10">
        <v>18929</v>
      </c>
      <c r="I341" s="10">
        <v>40309</v>
      </c>
      <c r="J341" s="10">
        <v>0</v>
      </c>
      <c r="K341" s="10">
        <v>0</v>
      </c>
      <c r="L341" s="10">
        <v>12518</v>
      </c>
      <c r="M341" s="10">
        <v>20222</v>
      </c>
      <c r="N341" s="10">
        <v>2080</v>
      </c>
      <c r="O341" s="10">
        <v>21234</v>
      </c>
      <c r="P341" s="10">
        <v>80501</v>
      </c>
      <c r="Q341" s="10">
        <v>18044</v>
      </c>
      <c r="R341" s="10">
        <v>10388</v>
      </c>
      <c r="S341" s="10">
        <v>363472</v>
      </c>
      <c r="T341" s="10">
        <v>182403</v>
      </c>
      <c r="U341" s="10">
        <v>15.196113283564403</v>
      </c>
      <c r="V341" s="10">
        <v>22.54477887431398</v>
      </c>
      <c r="W341" s="10">
        <v>0</v>
      </c>
      <c r="X341" s="10">
        <v>14.031017795643555</v>
      </c>
      <c r="Y341" s="10">
        <v>23.35690777444599</v>
      </c>
      <c r="Z341" s="10">
        <v>13.571111227263223</v>
      </c>
      <c r="AA341" s="10">
        <v>2.240794548047969</v>
      </c>
      <c r="AB341" s="10">
        <v>33.272544593018928</v>
      </c>
      <c r="AC341" s="10">
        <v>0</v>
      </c>
      <c r="AD341" s="10">
        <v>0</v>
      </c>
      <c r="AE341" s="10">
        <v>28.374340949033392</v>
      </c>
      <c r="AF341" s="10">
        <v>52.320492532884977</v>
      </c>
      <c r="AG341" s="10">
        <v>26.392307692307693</v>
      </c>
      <c r="AH341" s="10">
        <v>12.567815767165865</v>
      </c>
      <c r="AI341" s="10">
        <v>45.117526490354152</v>
      </c>
      <c r="AJ341" s="10">
        <v>0</v>
      </c>
      <c r="AK341" s="10">
        <v>26.342440700509865</v>
      </c>
      <c r="AL341" s="10">
        <v>26.504716981132077</v>
      </c>
      <c r="AM341" s="10">
        <v>0</v>
      </c>
      <c r="AN341" s="10">
        <v>6</v>
      </c>
      <c r="AO341" s="10">
        <v>3</v>
      </c>
      <c r="AP341" s="10">
        <v>34</v>
      </c>
      <c r="AQ341" s="10">
        <v>24</v>
      </c>
      <c r="AR341" s="10">
        <v>1</v>
      </c>
      <c r="AS341" s="10">
        <v>3</v>
      </c>
      <c r="AT341" s="10">
        <v>6</v>
      </c>
      <c r="AU341" s="10">
        <v>8</v>
      </c>
      <c r="AV341" s="10">
        <v>0</v>
      </c>
      <c r="AW341" s="10">
        <v>6</v>
      </c>
      <c r="AX341" s="10">
        <v>15</v>
      </c>
      <c r="AY341" s="10">
        <v>1</v>
      </c>
      <c r="AZ341" s="10">
        <v>3</v>
      </c>
      <c r="BA341" s="10">
        <v>3</v>
      </c>
      <c r="BB341" s="10">
        <v>2</v>
      </c>
      <c r="BC341" s="10">
        <v>115</v>
      </c>
      <c r="BD341" s="10">
        <v>8</v>
      </c>
      <c r="BE341" s="10">
        <v>0</v>
      </c>
      <c r="BF341" s="10">
        <v>58</v>
      </c>
      <c r="BG341" s="10">
        <v>57</v>
      </c>
      <c r="BH341" s="10">
        <v>17</v>
      </c>
      <c r="BI341" s="10">
        <v>0</v>
      </c>
      <c r="BJ341" s="10">
        <v>17</v>
      </c>
      <c r="BK341" s="10">
        <v>0</v>
      </c>
      <c r="BL341" s="10">
        <v>0</v>
      </c>
      <c r="BM341" s="10">
        <v>0</v>
      </c>
      <c r="BN341" s="10">
        <v>4</v>
      </c>
      <c r="BO341" s="10">
        <v>0</v>
      </c>
      <c r="BP341" s="10">
        <v>43</v>
      </c>
      <c r="BQ341" s="10">
        <v>3</v>
      </c>
      <c r="BR341" s="10">
        <v>0</v>
      </c>
      <c r="BS341" s="10">
        <v>207</v>
      </c>
    </row>
    <row r="342" spans="1:71" x14ac:dyDescent="0.55000000000000004">
      <c r="A342" s="10">
        <v>671</v>
      </c>
      <c r="B342" s="10">
        <v>2022</v>
      </c>
      <c r="C342" s="10">
        <v>28726</v>
      </c>
      <c r="D342" s="10">
        <v>163855</v>
      </c>
      <c r="E342" s="10">
        <v>39832</v>
      </c>
      <c r="F342" s="10">
        <v>12671</v>
      </c>
      <c r="G342" s="10">
        <v>42962</v>
      </c>
      <c r="H342" s="10">
        <v>7964</v>
      </c>
      <c r="I342" s="10">
        <v>32700</v>
      </c>
      <c r="J342" s="10">
        <v>693</v>
      </c>
      <c r="K342" s="10">
        <v>0</v>
      </c>
      <c r="L342" s="10">
        <v>7880</v>
      </c>
      <c r="M342" s="10">
        <v>10509</v>
      </c>
      <c r="N342" s="10">
        <v>1177</v>
      </c>
      <c r="O342" s="10">
        <v>7533</v>
      </c>
      <c r="P342" s="10">
        <v>60219</v>
      </c>
      <c r="Q342" s="10">
        <v>7802</v>
      </c>
      <c r="R342" s="10">
        <v>31897</v>
      </c>
      <c r="S342" s="10">
        <v>345458</v>
      </c>
      <c r="T342" s="10">
        <v>110962</v>
      </c>
      <c r="U342" s="10">
        <v>26.110039685302514</v>
      </c>
      <c r="V342" s="10">
        <v>24.837136492630677</v>
      </c>
      <c r="W342" s="10">
        <v>0</v>
      </c>
      <c r="X342" s="10">
        <v>20.137778670415745</v>
      </c>
      <c r="Y342" s="10">
        <v>52.681319548575487</v>
      </c>
      <c r="Z342" s="10">
        <v>17.899888273357849</v>
      </c>
      <c r="AA342" s="10">
        <v>17.795831240582622</v>
      </c>
      <c r="AB342" s="10">
        <v>34.571070336391436</v>
      </c>
      <c r="AC342" s="10">
        <v>0</v>
      </c>
      <c r="AD342" s="10">
        <v>0</v>
      </c>
      <c r="AE342" s="10">
        <v>23.903807106598986</v>
      </c>
      <c r="AF342" s="10">
        <v>60.317156722809017</v>
      </c>
      <c r="AG342" s="10">
        <v>29.463041631265931</v>
      </c>
      <c r="AH342" s="10">
        <v>31.20881454931634</v>
      </c>
      <c r="AI342" s="10">
        <v>48.894883674587753</v>
      </c>
      <c r="AJ342" s="10">
        <v>0</v>
      </c>
      <c r="AK342" s="10">
        <v>28.704306588054344</v>
      </c>
      <c r="AL342" s="10">
        <v>27.936263598457536</v>
      </c>
      <c r="AM342" s="10">
        <v>0</v>
      </c>
      <c r="AN342" s="10">
        <v>15</v>
      </c>
      <c r="AO342" s="10">
        <v>5</v>
      </c>
      <c r="AP342" s="10">
        <v>72</v>
      </c>
      <c r="AQ342" s="10">
        <v>0</v>
      </c>
      <c r="AR342" s="10">
        <v>18</v>
      </c>
      <c r="AS342" s="10">
        <v>6</v>
      </c>
      <c r="AT342" s="10">
        <v>14</v>
      </c>
      <c r="AU342" s="10">
        <v>4</v>
      </c>
      <c r="AV342" s="10">
        <v>0</v>
      </c>
      <c r="AW342" s="10">
        <v>4</v>
      </c>
      <c r="AX342" s="10">
        <v>7</v>
      </c>
      <c r="AY342" s="10">
        <v>2</v>
      </c>
      <c r="AZ342" s="10">
        <v>25</v>
      </c>
      <c r="BA342" s="10">
        <v>4</v>
      </c>
      <c r="BB342" s="10">
        <v>8</v>
      </c>
      <c r="BC342" s="10">
        <v>184</v>
      </c>
      <c r="BD342" s="10">
        <v>0</v>
      </c>
      <c r="BE342" s="10">
        <v>2</v>
      </c>
      <c r="BF342" s="10">
        <v>38</v>
      </c>
      <c r="BG342" s="10">
        <v>0</v>
      </c>
      <c r="BH342" s="10">
        <v>9</v>
      </c>
      <c r="BI342" s="10">
        <v>2</v>
      </c>
      <c r="BJ342" s="10">
        <v>12</v>
      </c>
      <c r="BK342" s="10">
        <v>1</v>
      </c>
      <c r="BL342" s="10">
        <v>0</v>
      </c>
      <c r="BM342" s="10">
        <v>1</v>
      </c>
      <c r="BN342" s="10">
        <v>2</v>
      </c>
      <c r="BO342" s="10">
        <v>0</v>
      </c>
      <c r="BP342" s="10">
        <v>14</v>
      </c>
      <c r="BQ342" s="10">
        <v>0</v>
      </c>
      <c r="BR342" s="10">
        <v>8</v>
      </c>
      <c r="BS342" s="10">
        <v>89</v>
      </c>
    </row>
    <row r="343" spans="1:71" x14ac:dyDescent="0.55000000000000004">
      <c r="A343" s="10">
        <v>380</v>
      </c>
      <c r="B343" s="10">
        <v>2022</v>
      </c>
      <c r="C343" s="10">
        <v>8984</v>
      </c>
      <c r="D343" s="10">
        <v>163891</v>
      </c>
      <c r="E343" s="10">
        <v>57759</v>
      </c>
      <c r="F343" s="10">
        <v>21522</v>
      </c>
      <c r="G343" s="10">
        <v>27129</v>
      </c>
      <c r="H343" s="10">
        <v>11350</v>
      </c>
      <c r="I343" s="10">
        <v>30779</v>
      </c>
      <c r="J343" s="10">
        <v>869</v>
      </c>
      <c r="K343" s="10">
        <v>0</v>
      </c>
      <c r="L343" s="10">
        <v>15018</v>
      </c>
      <c r="M343" s="10">
        <v>22615</v>
      </c>
      <c r="N343" s="10">
        <v>6310</v>
      </c>
      <c r="O343" s="10">
        <v>9360</v>
      </c>
      <c r="P343" s="10">
        <v>56205</v>
      </c>
      <c r="Q343" s="10">
        <v>12585</v>
      </c>
      <c r="R343" s="10">
        <v>3376</v>
      </c>
      <c r="S343" s="10">
        <v>320632</v>
      </c>
      <c r="T343" s="10">
        <v>127120</v>
      </c>
      <c r="U343" s="10">
        <v>23.912733748886911</v>
      </c>
      <c r="V343" s="10">
        <v>21.358781141124286</v>
      </c>
      <c r="W343" s="10">
        <v>33.983115886415966</v>
      </c>
      <c r="X343" s="10">
        <v>21.393323984140999</v>
      </c>
      <c r="Y343" s="10">
        <v>36.245562680048323</v>
      </c>
      <c r="Z343" s="10">
        <v>16.933208006192636</v>
      </c>
      <c r="AA343" s="10">
        <v>17.13770925110132</v>
      </c>
      <c r="AB343" s="10">
        <v>33.548263426362126</v>
      </c>
      <c r="AC343" s="10">
        <v>50.641999606376693</v>
      </c>
      <c r="AD343" s="10">
        <v>0</v>
      </c>
      <c r="AE343" s="10">
        <v>21.832867225995471</v>
      </c>
      <c r="AF343" s="10">
        <v>46.110015476453675</v>
      </c>
      <c r="AG343" s="10">
        <v>22.24405705229794</v>
      </c>
      <c r="AH343" s="10">
        <v>23.920833333333331</v>
      </c>
      <c r="AI343" s="10">
        <v>41.766551018592651</v>
      </c>
      <c r="AJ343" s="10">
        <v>60.765977225191726</v>
      </c>
      <c r="AK343" s="10">
        <v>28.55947556615018</v>
      </c>
      <c r="AL343" s="10">
        <v>23.036729857819903</v>
      </c>
      <c r="AM343" s="10">
        <v>36.998306519898392</v>
      </c>
      <c r="AN343" s="10">
        <v>4</v>
      </c>
      <c r="AO343" s="10">
        <v>16</v>
      </c>
      <c r="AP343" s="10">
        <v>58</v>
      </c>
      <c r="AQ343" s="10">
        <v>24</v>
      </c>
      <c r="AR343" s="10">
        <v>13</v>
      </c>
      <c r="AS343" s="10">
        <v>3</v>
      </c>
      <c r="AT343" s="10">
        <v>11</v>
      </c>
      <c r="AU343" s="10">
        <v>7</v>
      </c>
      <c r="AV343" s="10">
        <v>0</v>
      </c>
      <c r="AW343" s="10">
        <v>3</v>
      </c>
      <c r="AX343" s="10">
        <v>15</v>
      </c>
      <c r="AY343" s="10">
        <v>3</v>
      </c>
      <c r="AZ343" s="10">
        <v>19</v>
      </c>
      <c r="BA343" s="10">
        <v>5</v>
      </c>
      <c r="BB343" s="10">
        <v>0</v>
      </c>
      <c r="BC343" s="10">
        <v>181</v>
      </c>
      <c r="BD343" s="10">
        <v>1</v>
      </c>
      <c r="BE343" s="10">
        <v>0</v>
      </c>
      <c r="BF343" s="10">
        <v>13</v>
      </c>
      <c r="BG343" s="10">
        <v>11</v>
      </c>
      <c r="BH343" s="10">
        <v>2</v>
      </c>
      <c r="BI343" s="10">
        <v>2</v>
      </c>
      <c r="BJ343" s="10">
        <v>3</v>
      </c>
      <c r="BK343" s="10">
        <v>0</v>
      </c>
      <c r="BL343" s="10">
        <v>0</v>
      </c>
      <c r="BM343" s="10">
        <v>2</v>
      </c>
      <c r="BN343" s="10">
        <v>1</v>
      </c>
      <c r="BO343" s="10">
        <v>0</v>
      </c>
      <c r="BP343" s="10">
        <v>4</v>
      </c>
      <c r="BQ343" s="10">
        <v>0</v>
      </c>
      <c r="BR343" s="10">
        <v>0</v>
      </c>
      <c r="BS343" s="10">
        <v>39</v>
      </c>
    </row>
    <row r="344" spans="1:71" x14ac:dyDescent="0.55000000000000004">
      <c r="A344" s="10">
        <v>501</v>
      </c>
      <c r="B344" s="10">
        <v>2022</v>
      </c>
      <c r="C344" s="10">
        <v>12325</v>
      </c>
      <c r="D344" s="10">
        <v>166885</v>
      </c>
      <c r="E344" s="10">
        <v>60358</v>
      </c>
      <c r="F344" s="10">
        <v>6063</v>
      </c>
      <c r="G344" s="10">
        <v>35127</v>
      </c>
      <c r="H344" s="10">
        <v>11170</v>
      </c>
      <c r="I344" s="10">
        <v>49695</v>
      </c>
      <c r="J344" s="10">
        <v>0</v>
      </c>
      <c r="K344" s="10">
        <v>0</v>
      </c>
      <c r="L344" s="10">
        <v>15252</v>
      </c>
      <c r="M344" s="10">
        <v>16252</v>
      </c>
      <c r="N344" s="10">
        <v>3832</v>
      </c>
      <c r="O344" s="10">
        <v>7360</v>
      </c>
      <c r="P344" s="10">
        <v>60473</v>
      </c>
      <c r="Q344" s="10">
        <v>13891</v>
      </c>
      <c r="R344" s="10">
        <v>88904</v>
      </c>
      <c r="S344" s="10">
        <v>427509</v>
      </c>
      <c r="T344" s="10">
        <v>120078</v>
      </c>
      <c r="U344" s="10">
        <v>23.934361054766736</v>
      </c>
      <c r="V344" s="10">
        <v>28.722221889324985</v>
      </c>
      <c r="W344" s="10">
        <v>0</v>
      </c>
      <c r="X344" s="10">
        <v>19.954355677789188</v>
      </c>
      <c r="Y344" s="10">
        <v>44.053933696190001</v>
      </c>
      <c r="Z344" s="10">
        <v>16.994847268482932</v>
      </c>
      <c r="AA344" s="10">
        <v>15.274753804834379</v>
      </c>
      <c r="AB344" s="10">
        <v>36.397384042660228</v>
      </c>
      <c r="AC344" s="10">
        <v>0</v>
      </c>
      <c r="AD344" s="10">
        <v>0</v>
      </c>
      <c r="AE344" s="10">
        <v>22.451678468397585</v>
      </c>
      <c r="AF344" s="10">
        <v>46.010214127491999</v>
      </c>
      <c r="AG344" s="10">
        <v>28.419624217118997</v>
      </c>
      <c r="AH344" s="10">
        <v>25.807744565217391</v>
      </c>
      <c r="AI344" s="10">
        <v>44.564929803383329</v>
      </c>
      <c r="AJ344" s="10">
        <v>0</v>
      </c>
      <c r="AK344" s="10">
        <v>26.453459074220721</v>
      </c>
      <c r="AL344" s="10">
        <v>30.068197156483397</v>
      </c>
      <c r="AM344" s="10">
        <v>0</v>
      </c>
      <c r="AN344" s="10">
        <v>9</v>
      </c>
      <c r="AO344" s="10">
        <v>20</v>
      </c>
      <c r="AP344" s="10">
        <v>56</v>
      </c>
      <c r="AQ344" s="10">
        <v>24</v>
      </c>
      <c r="AR344" s="10">
        <v>16</v>
      </c>
      <c r="AS344" s="10">
        <v>5</v>
      </c>
      <c r="AT344" s="10">
        <v>14</v>
      </c>
      <c r="AU344" s="10">
        <v>4</v>
      </c>
      <c r="AV344" s="10">
        <v>0</v>
      </c>
      <c r="AW344" s="10">
        <v>6</v>
      </c>
      <c r="AX344" s="10">
        <v>9</v>
      </c>
      <c r="AY344" s="10">
        <v>2</v>
      </c>
      <c r="AZ344" s="10">
        <v>27</v>
      </c>
      <c r="BA344" s="10">
        <v>5</v>
      </c>
      <c r="BB344" s="10">
        <v>30</v>
      </c>
      <c r="BC344" s="10">
        <v>227</v>
      </c>
      <c r="BD344" s="10">
        <v>2</v>
      </c>
      <c r="BE344" s="10">
        <v>7</v>
      </c>
      <c r="BF344" s="10">
        <v>18</v>
      </c>
      <c r="BG344" s="10">
        <v>20</v>
      </c>
      <c r="BH344" s="10">
        <v>5</v>
      </c>
      <c r="BI344" s="10">
        <v>2</v>
      </c>
      <c r="BJ344" s="10">
        <v>7</v>
      </c>
      <c r="BK344" s="10">
        <v>1</v>
      </c>
      <c r="BL344" s="10">
        <v>0</v>
      </c>
      <c r="BM344" s="10">
        <v>0</v>
      </c>
      <c r="BN344" s="10">
        <v>0</v>
      </c>
      <c r="BO344" s="10">
        <v>0</v>
      </c>
      <c r="BP344" s="10">
        <v>6</v>
      </c>
      <c r="BQ344" s="10">
        <v>0</v>
      </c>
      <c r="BR344" s="10">
        <v>8</v>
      </c>
      <c r="BS344" s="10">
        <v>76</v>
      </c>
    </row>
    <row r="345" spans="1:71" x14ac:dyDescent="0.55000000000000004">
      <c r="A345" s="10">
        <v>916</v>
      </c>
      <c r="B345" s="10">
        <v>2022</v>
      </c>
      <c r="C345" s="10">
        <v>8636</v>
      </c>
      <c r="D345" s="10">
        <v>179591</v>
      </c>
      <c r="E345" s="10">
        <v>44362</v>
      </c>
      <c r="F345" s="10">
        <v>17659</v>
      </c>
      <c r="G345" s="10">
        <v>28425</v>
      </c>
      <c r="H345" s="10">
        <v>10721</v>
      </c>
      <c r="I345" s="10">
        <v>36502</v>
      </c>
      <c r="J345" s="10">
        <v>0</v>
      </c>
      <c r="K345" s="10">
        <v>0</v>
      </c>
      <c r="L345" s="10">
        <v>12646</v>
      </c>
      <c r="M345" s="10">
        <v>35591</v>
      </c>
      <c r="N345" s="10">
        <v>1628</v>
      </c>
      <c r="O345" s="10">
        <v>6518</v>
      </c>
      <c r="P345" s="10">
        <v>30259</v>
      </c>
      <c r="Q345" s="10">
        <v>12085</v>
      </c>
      <c r="R345" s="10">
        <v>17279</v>
      </c>
      <c r="S345" s="10">
        <v>334217</v>
      </c>
      <c r="T345" s="10">
        <v>107685</v>
      </c>
      <c r="U345" s="10">
        <v>20.722904122278834</v>
      </c>
      <c r="V345" s="10">
        <v>15.18424642660267</v>
      </c>
      <c r="W345" s="10">
        <v>33.499322886438385</v>
      </c>
      <c r="X345" s="10">
        <v>18.947004192777602</v>
      </c>
      <c r="Y345" s="10">
        <v>37.391754912509199</v>
      </c>
      <c r="Z345" s="10">
        <v>18.974494283201409</v>
      </c>
      <c r="AA345" s="10">
        <v>16.855237384572334</v>
      </c>
      <c r="AB345" s="10">
        <v>22.936332255766807</v>
      </c>
      <c r="AC345" s="10">
        <v>49.800945747332094</v>
      </c>
      <c r="AD345" s="10">
        <v>0</v>
      </c>
      <c r="AE345" s="10">
        <v>20.309425905424643</v>
      </c>
      <c r="AF345" s="10">
        <v>29.20375937737068</v>
      </c>
      <c r="AG345" s="10">
        <v>28.375921375921376</v>
      </c>
      <c r="AH345" s="10">
        <v>25.72445535440319</v>
      </c>
      <c r="AI345" s="10">
        <v>40.710433259526091</v>
      </c>
      <c r="AJ345" s="10">
        <v>62.286587625046309</v>
      </c>
      <c r="AK345" s="10">
        <v>30.039966901117086</v>
      </c>
      <c r="AL345" s="10">
        <v>20.52063198101742</v>
      </c>
      <c r="AM345" s="10">
        <v>36.686909581646418</v>
      </c>
      <c r="AN345" s="10">
        <v>6</v>
      </c>
      <c r="AO345" s="10">
        <v>7</v>
      </c>
      <c r="AP345" s="10">
        <v>42</v>
      </c>
      <c r="AQ345" s="10">
        <v>14</v>
      </c>
      <c r="AR345" s="10">
        <v>13</v>
      </c>
      <c r="AS345" s="10">
        <v>5</v>
      </c>
      <c r="AT345" s="10">
        <v>8</v>
      </c>
      <c r="AU345" s="10">
        <v>4</v>
      </c>
      <c r="AV345" s="10">
        <v>0</v>
      </c>
      <c r="AW345" s="10">
        <v>8</v>
      </c>
      <c r="AX345" s="10">
        <v>15</v>
      </c>
      <c r="AY345" s="10">
        <v>1</v>
      </c>
      <c r="AZ345" s="10">
        <v>7</v>
      </c>
      <c r="BA345" s="10">
        <v>4</v>
      </c>
      <c r="BB345" s="10">
        <v>0</v>
      </c>
      <c r="BC345" s="10">
        <v>134</v>
      </c>
      <c r="BD345" s="10">
        <v>2</v>
      </c>
      <c r="BE345" s="10">
        <v>2</v>
      </c>
      <c r="BF345" s="10">
        <v>19</v>
      </c>
      <c r="BG345" s="10">
        <v>12</v>
      </c>
      <c r="BH345" s="10">
        <v>2</v>
      </c>
      <c r="BI345" s="10">
        <v>2</v>
      </c>
      <c r="BJ345" s="10">
        <v>4</v>
      </c>
      <c r="BK345" s="10">
        <v>0</v>
      </c>
      <c r="BL345" s="10">
        <v>0</v>
      </c>
      <c r="BM345" s="10">
        <v>0</v>
      </c>
      <c r="BN345" s="10">
        <v>1</v>
      </c>
      <c r="BO345" s="10">
        <v>0</v>
      </c>
      <c r="BP345" s="10">
        <v>3</v>
      </c>
      <c r="BQ345" s="10">
        <v>0</v>
      </c>
      <c r="BR345" s="10">
        <v>0</v>
      </c>
      <c r="BS345" s="10">
        <v>47</v>
      </c>
    </row>
    <row r="346" spans="1:71" x14ac:dyDescent="0.55000000000000004">
      <c r="A346" s="10">
        <v>622</v>
      </c>
      <c r="B346" s="10">
        <v>2022</v>
      </c>
      <c r="C346" s="10">
        <v>11602</v>
      </c>
      <c r="D346" s="10">
        <v>195153</v>
      </c>
      <c r="E346" s="10">
        <v>0</v>
      </c>
      <c r="F346" s="10">
        <v>18545</v>
      </c>
      <c r="G346" s="10">
        <v>0</v>
      </c>
      <c r="H346" s="10">
        <v>0</v>
      </c>
      <c r="I346" s="10">
        <v>71256</v>
      </c>
      <c r="J346" s="10">
        <v>0</v>
      </c>
      <c r="K346" s="10">
        <v>0</v>
      </c>
      <c r="L346" s="10">
        <v>14723</v>
      </c>
      <c r="M346" s="10">
        <v>21938</v>
      </c>
      <c r="N346" s="10">
        <v>0</v>
      </c>
      <c r="O346" s="10">
        <v>4319</v>
      </c>
      <c r="P346" s="10">
        <v>127846</v>
      </c>
      <c r="Q346" s="10">
        <v>15605</v>
      </c>
      <c r="R346" s="10">
        <v>4671</v>
      </c>
      <c r="S346" s="10">
        <v>462794</v>
      </c>
      <c r="T346" s="10">
        <v>22864</v>
      </c>
      <c r="U346" s="10">
        <v>20.613342527150493</v>
      </c>
      <c r="V346" s="10">
        <v>18.740639395756151</v>
      </c>
      <c r="W346" s="10">
        <v>32.927121464226289</v>
      </c>
      <c r="X346" s="10">
        <v>0</v>
      </c>
      <c r="Y346" s="10">
        <v>44.75119978430844</v>
      </c>
      <c r="Z346" s="10">
        <v>0</v>
      </c>
      <c r="AA346" s="10">
        <v>0</v>
      </c>
      <c r="AB346" s="10">
        <v>26.629603121140672</v>
      </c>
      <c r="AC346" s="10">
        <v>48.903225806451616</v>
      </c>
      <c r="AD346" s="10">
        <v>0</v>
      </c>
      <c r="AE346" s="10">
        <v>28.995788901718402</v>
      </c>
      <c r="AF346" s="10">
        <v>35.856732610082958</v>
      </c>
      <c r="AG346" s="10">
        <v>0</v>
      </c>
      <c r="AH346" s="10">
        <v>27.587636026858071</v>
      </c>
      <c r="AI346" s="10">
        <v>35.82087042222674</v>
      </c>
      <c r="AJ346" s="10">
        <v>62.353695324283557</v>
      </c>
      <c r="AK346" s="10">
        <v>26.901954501762255</v>
      </c>
      <c r="AL346" s="10">
        <v>16.77456647398844</v>
      </c>
      <c r="AM346" s="10">
        <v>35.951807228915662</v>
      </c>
      <c r="AN346" s="10">
        <v>4</v>
      </c>
      <c r="AO346" s="10">
        <v>10</v>
      </c>
      <c r="AP346" s="10">
        <v>31</v>
      </c>
      <c r="AQ346" s="10">
        <v>0</v>
      </c>
      <c r="AR346" s="10">
        <v>0</v>
      </c>
      <c r="AS346" s="10">
        <v>0</v>
      </c>
      <c r="AT346" s="10">
        <v>15</v>
      </c>
      <c r="AU346" s="10">
        <v>4</v>
      </c>
      <c r="AV346" s="10">
        <v>0</v>
      </c>
      <c r="AW346" s="10">
        <v>3</v>
      </c>
      <c r="AX346" s="10">
        <v>11</v>
      </c>
      <c r="AY346" s="10">
        <v>9</v>
      </c>
      <c r="AZ346" s="10">
        <v>18</v>
      </c>
      <c r="BA346" s="10">
        <v>6</v>
      </c>
      <c r="BB346" s="10">
        <v>1</v>
      </c>
      <c r="BC346" s="10">
        <v>112</v>
      </c>
      <c r="BD346" s="10">
        <v>0</v>
      </c>
      <c r="BE346" s="10">
        <v>5</v>
      </c>
      <c r="BF346" s="10">
        <v>5</v>
      </c>
      <c r="BG346" s="10">
        <v>0</v>
      </c>
      <c r="BH346" s="10">
        <v>0</v>
      </c>
      <c r="BI346" s="10">
        <v>0</v>
      </c>
      <c r="BJ346" s="10">
        <v>2</v>
      </c>
      <c r="BK346" s="10">
        <v>0</v>
      </c>
      <c r="BL346" s="10">
        <v>0</v>
      </c>
      <c r="BM346" s="10">
        <v>0</v>
      </c>
      <c r="BN346" s="10">
        <v>0</v>
      </c>
      <c r="BO346" s="10">
        <v>0</v>
      </c>
      <c r="BP346" s="10">
        <v>6</v>
      </c>
      <c r="BQ346" s="10">
        <v>0</v>
      </c>
      <c r="BR346" s="10">
        <v>1</v>
      </c>
      <c r="BS346" s="10">
        <v>19</v>
      </c>
    </row>
  </sheetData>
  <sheetProtection algorithmName="SHA-512" hashValue="2RuB5v75viZevAGKYpixllK+cbaZL6Rhu2mvB6QwuspgTjIvgK5vmBz5CFEQPp76q3tvT3WRmfq3dq/9V5q1Uw==" saltValue="/5NOVqWPDIcAB7FC9tj/BQ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71AE-12C1-4EF7-91BB-24021B11AA59}">
  <dimension ref="A1:H391"/>
  <sheetViews>
    <sheetView workbookViewId="0"/>
  </sheetViews>
  <sheetFormatPr defaultColWidth="9.15625" defaultRowHeight="14.4" x14ac:dyDescent="0.55000000000000004"/>
  <cols>
    <col min="1" max="1" width="9.26171875" style="10" bestFit="1" customWidth="1"/>
    <col min="2" max="2" width="10" style="10" bestFit="1" customWidth="1"/>
    <col min="3" max="3" width="12" style="10" bestFit="1" customWidth="1"/>
    <col min="4" max="8" width="9.26171875" style="10" bestFit="1" customWidth="1"/>
    <col min="9" max="16384" width="9.15625" style="10"/>
  </cols>
  <sheetData>
    <row r="1" spans="1:8" x14ac:dyDescent="0.55000000000000004">
      <c r="B1" s="10">
        <v>7</v>
      </c>
      <c r="C1" s="10">
        <v>31</v>
      </c>
      <c r="D1" s="10">
        <v>23</v>
      </c>
      <c r="F1" s="10">
        <v>43</v>
      </c>
      <c r="G1" s="10">
        <v>39</v>
      </c>
    </row>
    <row r="2" spans="1:8" x14ac:dyDescent="0.55000000000000004">
      <c r="B2" s="10" t="s">
        <v>222</v>
      </c>
      <c r="D2" s="10" t="s">
        <v>223</v>
      </c>
      <c r="G2" s="10" t="s">
        <v>224</v>
      </c>
    </row>
    <row r="5" spans="1:8" x14ac:dyDescent="0.55000000000000004">
      <c r="B5" s="10" t="s">
        <v>0</v>
      </c>
      <c r="C5" s="10" t="s">
        <v>225</v>
      </c>
      <c r="D5" s="10" t="s">
        <v>226</v>
      </c>
      <c r="F5" s="10" t="s">
        <v>227</v>
      </c>
      <c r="G5" s="10" t="s">
        <v>226</v>
      </c>
    </row>
    <row r="6" spans="1:8" x14ac:dyDescent="0.55000000000000004">
      <c r="B6" s="10" t="s">
        <v>228</v>
      </c>
      <c r="C6" s="10" t="s">
        <v>229</v>
      </c>
      <c r="D6" s="10" t="s">
        <v>230</v>
      </c>
      <c r="F6" s="10" t="s">
        <v>231</v>
      </c>
      <c r="G6" s="10" t="s">
        <v>232</v>
      </c>
    </row>
    <row r="7" spans="1:8" x14ac:dyDescent="0.55000000000000004">
      <c r="A7" s="10">
        <v>814</v>
      </c>
      <c r="B7" s="10">
        <v>1394710</v>
      </c>
      <c r="C7" s="10">
        <v>425972</v>
      </c>
      <c r="D7" s="10">
        <v>0</v>
      </c>
      <c r="E7" s="10">
        <v>425972</v>
      </c>
      <c r="F7" s="10">
        <v>151081</v>
      </c>
      <c r="G7" s="10">
        <v>0</v>
      </c>
      <c r="H7" s="10">
        <v>151081</v>
      </c>
    </row>
    <row r="8" spans="1:8" x14ac:dyDescent="0.55000000000000004">
      <c r="A8" s="10">
        <v>567</v>
      </c>
      <c r="B8" s="10">
        <v>1517483</v>
      </c>
      <c r="C8" s="10">
        <v>714708</v>
      </c>
      <c r="D8" s="10">
        <v>-9216</v>
      </c>
      <c r="E8" s="10">
        <v>723924</v>
      </c>
      <c r="F8" s="10">
        <v>155558</v>
      </c>
      <c r="G8" s="10">
        <v>-5196</v>
      </c>
      <c r="H8" s="10">
        <v>150362</v>
      </c>
    </row>
    <row r="9" spans="1:8" x14ac:dyDescent="0.55000000000000004">
      <c r="A9" s="10">
        <v>249</v>
      </c>
      <c r="B9" s="10">
        <v>697506</v>
      </c>
      <c r="C9" s="10">
        <v>263459</v>
      </c>
      <c r="D9" s="10">
        <v>0</v>
      </c>
      <c r="E9" s="10">
        <v>263459</v>
      </c>
      <c r="F9" s="10">
        <v>0</v>
      </c>
      <c r="G9" s="10">
        <v>0</v>
      </c>
      <c r="H9" s="10">
        <v>0</v>
      </c>
    </row>
    <row r="10" spans="1:8" x14ac:dyDescent="0.55000000000000004">
      <c r="A10" s="10">
        <v>967</v>
      </c>
      <c r="B10" s="10">
        <v>668095</v>
      </c>
      <c r="C10" s="10">
        <v>233015</v>
      </c>
      <c r="D10" s="10">
        <v>0</v>
      </c>
      <c r="E10" s="10">
        <v>233015</v>
      </c>
      <c r="F10" s="10">
        <v>0</v>
      </c>
      <c r="G10" s="10">
        <v>0</v>
      </c>
      <c r="H10" s="10">
        <v>0</v>
      </c>
    </row>
    <row r="11" spans="1:8" x14ac:dyDescent="0.55000000000000004">
      <c r="A11" s="10">
        <v>506</v>
      </c>
      <c r="B11" s="10">
        <v>1862996</v>
      </c>
      <c r="C11" s="10">
        <v>596165</v>
      </c>
      <c r="D11" s="10">
        <v>18484</v>
      </c>
      <c r="E11" s="10">
        <v>577681</v>
      </c>
      <c r="F11" s="10">
        <v>315889</v>
      </c>
      <c r="G11" s="10">
        <v>10359</v>
      </c>
      <c r="H11" s="10">
        <v>326248</v>
      </c>
    </row>
    <row r="12" spans="1:8" x14ac:dyDescent="0.55000000000000004">
      <c r="A12" s="10">
        <v>788</v>
      </c>
      <c r="B12" s="10">
        <v>359751</v>
      </c>
      <c r="C12" s="10">
        <v>170714</v>
      </c>
      <c r="D12" s="10">
        <v>0</v>
      </c>
      <c r="E12" s="10">
        <v>170714</v>
      </c>
      <c r="F12" s="10">
        <v>0</v>
      </c>
      <c r="G12" s="10">
        <v>0</v>
      </c>
      <c r="H12" s="10">
        <v>0</v>
      </c>
    </row>
    <row r="13" spans="1:8" x14ac:dyDescent="0.55000000000000004">
      <c r="A13" s="10">
        <v>399</v>
      </c>
      <c r="B13" s="10">
        <v>680751</v>
      </c>
      <c r="C13" s="10">
        <v>375639</v>
      </c>
      <c r="D13" s="10">
        <v>-6070</v>
      </c>
      <c r="E13" s="10">
        <v>381709</v>
      </c>
      <c r="F13" s="10">
        <v>88269</v>
      </c>
      <c r="G13" s="10">
        <v>1825</v>
      </c>
      <c r="H13" s="10">
        <v>90094</v>
      </c>
    </row>
    <row r="14" spans="1:8" x14ac:dyDescent="0.55000000000000004">
      <c r="A14" s="10">
        <v>529</v>
      </c>
      <c r="B14" s="10">
        <v>935918</v>
      </c>
      <c r="C14" s="10">
        <v>326219</v>
      </c>
      <c r="D14" s="10">
        <v>0</v>
      </c>
      <c r="E14" s="10">
        <v>326219</v>
      </c>
      <c r="F14" s="10">
        <v>108741</v>
      </c>
      <c r="G14" s="10">
        <v>0</v>
      </c>
      <c r="H14" s="10">
        <v>108741</v>
      </c>
    </row>
    <row r="15" spans="1:8" x14ac:dyDescent="0.55000000000000004">
      <c r="A15" s="10">
        <v>912</v>
      </c>
      <c r="B15" s="10">
        <v>2308996</v>
      </c>
      <c r="C15" s="10">
        <v>519443</v>
      </c>
      <c r="D15" s="10">
        <v>-2929</v>
      </c>
      <c r="E15" s="10">
        <v>522372</v>
      </c>
      <c r="F15" s="10">
        <v>253132</v>
      </c>
      <c r="G15" s="10">
        <v>-810</v>
      </c>
      <c r="H15" s="10">
        <v>252322</v>
      </c>
    </row>
    <row r="16" spans="1:8" x14ac:dyDescent="0.55000000000000004">
      <c r="A16" s="10">
        <v>916</v>
      </c>
      <c r="B16" s="10">
        <v>2726954</v>
      </c>
      <c r="C16" s="10">
        <v>840527</v>
      </c>
      <c r="D16" s="10">
        <v>0</v>
      </c>
      <c r="E16" s="10">
        <v>840527</v>
      </c>
      <c r="F16" s="10">
        <v>539350</v>
      </c>
      <c r="G16" s="10">
        <v>0</v>
      </c>
      <c r="H16" s="10">
        <v>539350</v>
      </c>
    </row>
    <row r="17" spans="1:8" x14ac:dyDescent="0.55000000000000004">
      <c r="A17" s="10">
        <v>497</v>
      </c>
      <c r="B17" s="10">
        <v>1590507</v>
      </c>
      <c r="C17" s="10">
        <v>331480</v>
      </c>
      <c r="D17" s="10">
        <v>-306</v>
      </c>
      <c r="E17" s="10">
        <v>331786</v>
      </c>
      <c r="F17" s="10">
        <v>277504</v>
      </c>
      <c r="G17" s="10">
        <v>-4402</v>
      </c>
      <c r="H17" s="10">
        <v>273102</v>
      </c>
    </row>
    <row r="18" spans="1:8" x14ac:dyDescent="0.55000000000000004">
      <c r="A18" s="10">
        <v>449</v>
      </c>
      <c r="B18" s="10">
        <v>1125960</v>
      </c>
      <c r="C18" s="10">
        <v>296956</v>
      </c>
      <c r="D18" s="10">
        <v>0</v>
      </c>
      <c r="E18" s="10">
        <v>296956</v>
      </c>
      <c r="F18" s="10">
        <v>0</v>
      </c>
      <c r="G18" s="10">
        <v>0</v>
      </c>
      <c r="H18" s="10">
        <v>0</v>
      </c>
    </row>
    <row r="19" spans="1:8" x14ac:dyDescent="0.55000000000000004">
      <c r="A19" s="10">
        <v>624</v>
      </c>
      <c r="B19" s="10">
        <v>3398819</v>
      </c>
      <c r="C19" s="10">
        <v>825779</v>
      </c>
      <c r="D19" s="10">
        <v>0</v>
      </c>
      <c r="E19" s="10">
        <v>825779</v>
      </c>
      <c r="F19" s="10">
        <v>373446</v>
      </c>
      <c r="G19" s="10">
        <v>0</v>
      </c>
      <c r="H19" s="10">
        <v>373446</v>
      </c>
    </row>
    <row r="20" spans="1:8" x14ac:dyDescent="0.55000000000000004">
      <c r="A20" s="10">
        <v>114</v>
      </c>
      <c r="B20" s="10">
        <v>645588</v>
      </c>
      <c r="C20" s="10">
        <v>0</v>
      </c>
      <c r="D20" s="10">
        <v>0</v>
      </c>
      <c r="E20" s="10">
        <v>0</v>
      </c>
      <c r="F20" s="10">
        <v>117843</v>
      </c>
      <c r="G20" s="10">
        <v>-6045</v>
      </c>
      <c r="H20" s="10">
        <v>111798</v>
      </c>
    </row>
    <row r="21" spans="1:8" x14ac:dyDescent="0.55000000000000004">
      <c r="A21" s="10">
        <v>761</v>
      </c>
      <c r="B21" s="10">
        <v>245833</v>
      </c>
      <c r="C21" s="10">
        <v>99124</v>
      </c>
      <c r="D21" s="10">
        <v>-3262</v>
      </c>
      <c r="E21" s="10">
        <v>102386</v>
      </c>
      <c r="F21" s="10">
        <v>38959</v>
      </c>
      <c r="G21" s="10">
        <v>825</v>
      </c>
      <c r="H21" s="10">
        <v>39784</v>
      </c>
    </row>
    <row r="22" spans="1:8" x14ac:dyDescent="0.55000000000000004">
      <c r="A22" s="10">
        <v>542</v>
      </c>
      <c r="B22" s="10">
        <v>976522</v>
      </c>
      <c r="C22" s="10">
        <v>423231</v>
      </c>
      <c r="D22" s="10">
        <v>0</v>
      </c>
      <c r="E22" s="10">
        <v>423231</v>
      </c>
      <c r="F22" s="10">
        <v>193882</v>
      </c>
      <c r="G22" s="10">
        <v>0</v>
      </c>
      <c r="H22" s="10">
        <v>193882</v>
      </c>
    </row>
    <row r="23" spans="1:8" x14ac:dyDescent="0.55000000000000004">
      <c r="A23" s="10">
        <v>414</v>
      </c>
      <c r="B23" s="10">
        <v>0</v>
      </c>
      <c r="C23" s="10">
        <v>49535</v>
      </c>
      <c r="D23" s="10">
        <v>0</v>
      </c>
      <c r="E23" s="10">
        <v>49535</v>
      </c>
      <c r="F23" s="10">
        <v>4646</v>
      </c>
      <c r="G23" s="10">
        <v>0</v>
      </c>
      <c r="H23" s="10">
        <v>4646</v>
      </c>
    </row>
    <row r="24" spans="1:8" x14ac:dyDescent="0.55000000000000004">
      <c r="A24" s="10">
        <v>316</v>
      </c>
      <c r="B24" s="10">
        <v>923026</v>
      </c>
      <c r="C24" s="10">
        <v>351771</v>
      </c>
      <c r="D24" s="10">
        <v>0</v>
      </c>
      <c r="E24" s="10">
        <v>351771</v>
      </c>
      <c r="F24" s="10">
        <v>137590</v>
      </c>
      <c r="G24" s="10">
        <v>0</v>
      </c>
      <c r="H24" s="10">
        <v>137590</v>
      </c>
    </row>
    <row r="25" spans="1:8" x14ac:dyDescent="0.55000000000000004">
      <c r="A25" s="10">
        <v>424</v>
      </c>
      <c r="B25" s="10">
        <v>858319</v>
      </c>
      <c r="C25" s="10">
        <v>319402</v>
      </c>
      <c r="D25" s="10">
        <v>0</v>
      </c>
      <c r="E25" s="10">
        <v>319402</v>
      </c>
      <c r="F25" s="10">
        <v>0</v>
      </c>
      <c r="G25" s="10">
        <v>0</v>
      </c>
      <c r="H25" s="10">
        <v>0</v>
      </c>
    </row>
    <row r="26" spans="1:8" x14ac:dyDescent="0.55000000000000004">
      <c r="A26" s="10">
        <v>575</v>
      </c>
      <c r="B26" s="10">
        <v>3041638</v>
      </c>
      <c r="C26" s="10">
        <v>715904</v>
      </c>
      <c r="D26" s="10">
        <v>3279</v>
      </c>
      <c r="E26" s="10">
        <v>712625</v>
      </c>
      <c r="F26" s="10">
        <v>317803</v>
      </c>
      <c r="G26" s="10">
        <v>657</v>
      </c>
      <c r="H26" s="10">
        <v>318460</v>
      </c>
    </row>
    <row r="27" spans="1:8" x14ac:dyDescent="0.55000000000000004">
      <c r="A27" s="10">
        <v>228</v>
      </c>
      <c r="B27" s="10">
        <v>0</v>
      </c>
      <c r="C27" s="10">
        <v>56217</v>
      </c>
      <c r="D27" s="10">
        <v>0</v>
      </c>
      <c r="E27" s="10">
        <v>56217</v>
      </c>
      <c r="F27" s="10">
        <v>24366</v>
      </c>
      <c r="G27" s="10">
        <v>0</v>
      </c>
      <c r="H27" s="10">
        <v>24366</v>
      </c>
    </row>
    <row r="28" spans="1:8" x14ac:dyDescent="0.55000000000000004">
      <c r="A28" s="10">
        <v>380</v>
      </c>
      <c r="B28" s="10">
        <v>3500512</v>
      </c>
      <c r="C28" s="10">
        <v>1235657</v>
      </c>
      <c r="D28" s="10">
        <v>0</v>
      </c>
      <c r="E28" s="10">
        <v>1235657</v>
      </c>
      <c r="F28" s="10">
        <v>459381</v>
      </c>
      <c r="G28" s="10">
        <v>0</v>
      </c>
      <c r="H28" s="10">
        <v>459381</v>
      </c>
    </row>
    <row r="29" spans="1:8" x14ac:dyDescent="0.55000000000000004">
      <c r="A29" s="10">
        <v>620</v>
      </c>
      <c r="B29" s="10">
        <v>2703954</v>
      </c>
      <c r="C29" s="10">
        <v>703721</v>
      </c>
      <c r="D29" s="10">
        <v>0</v>
      </c>
      <c r="E29" s="10">
        <v>703721</v>
      </c>
      <c r="F29" s="10">
        <v>0</v>
      </c>
      <c r="G29" s="10">
        <v>0</v>
      </c>
      <c r="H29" s="10">
        <v>0</v>
      </c>
    </row>
    <row r="30" spans="1:8" x14ac:dyDescent="0.55000000000000004">
      <c r="A30" s="10">
        <v>311</v>
      </c>
      <c r="B30" s="10">
        <v>400542</v>
      </c>
      <c r="C30" s="10">
        <v>220185</v>
      </c>
      <c r="D30" s="10">
        <v>0</v>
      </c>
      <c r="E30" s="10">
        <v>220185</v>
      </c>
      <c r="F30" s="10">
        <v>0</v>
      </c>
      <c r="G30" s="10">
        <v>0</v>
      </c>
      <c r="H30" s="10">
        <v>0</v>
      </c>
    </row>
    <row r="31" spans="1:8" x14ac:dyDescent="0.55000000000000004">
      <c r="A31" s="10">
        <v>345</v>
      </c>
      <c r="B31" s="10">
        <v>160449</v>
      </c>
      <c r="C31" s="10">
        <v>200328</v>
      </c>
      <c r="D31" s="10">
        <v>0</v>
      </c>
      <c r="E31" s="10">
        <v>200328</v>
      </c>
      <c r="F31" s="10">
        <v>135078</v>
      </c>
      <c r="G31" s="10">
        <v>0</v>
      </c>
      <c r="H31" s="10">
        <v>135078</v>
      </c>
    </row>
    <row r="32" spans="1:8" x14ac:dyDescent="0.55000000000000004">
      <c r="A32" s="10">
        <v>861</v>
      </c>
      <c r="B32" s="10">
        <v>1530411</v>
      </c>
      <c r="C32" s="10">
        <v>613067</v>
      </c>
      <c r="D32" s="10">
        <v>0</v>
      </c>
      <c r="E32" s="10">
        <v>613067</v>
      </c>
      <c r="F32" s="10">
        <v>159400</v>
      </c>
      <c r="G32" s="10">
        <v>0</v>
      </c>
      <c r="H32" s="10">
        <v>159400</v>
      </c>
    </row>
    <row r="33" spans="1:8" x14ac:dyDescent="0.55000000000000004">
      <c r="A33" s="10">
        <v>769</v>
      </c>
      <c r="B33" s="10">
        <v>677499</v>
      </c>
      <c r="C33" s="10">
        <v>258588.6271068193</v>
      </c>
      <c r="D33" s="10">
        <v>0</v>
      </c>
      <c r="E33" s="10">
        <v>258588.6271068193</v>
      </c>
      <c r="F33" s="10">
        <v>226226.94420319586</v>
      </c>
      <c r="G33" s="10">
        <v>0</v>
      </c>
      <c r="H33" s="10">
        <v>226226.94420319586</v>
      </c>
    </row>
    <row r="34" spans="1:8" x14ac:dyDescent="0.55000000000000004">
      <c r="A34" s="10">
        <v>820</v>
      </c>
      <c r="B34" s="10">
        <v>3127912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</row>
    <row r="35" spans="1:8" x14ac:dyDescent="0.55000000000000004">
      <c r="A35" s="10">
        <v>332</v>
      </c>
      <c r="B35" s="10">
        <v>2742331</v>
      </c>
      <c r="C35" s="10">
        <v>569389</v>
      </c>
      <c r="D35" s="10">
        <v>0</v>
      </c>
      <c r="E35" s="10">
        <v>569389</v>
      </c>
      <c r="F35" s="10">
        <v>252066</v>
      </c>
      <c r="G35" s="10">
        <v>0</v>
      </c>
      <c r="H35" s="10">
        <v>252066</v>
      </c>
    </row>
    <row r="36" spans="1:8" x14ac:dyDescent="0.55000000000000004">
      <c r="A36" s="10">
        <v>145</v>
      </c>
      <c r="B36" s="10">
        <v>2146248</v>
      </c>
      <c r="C36" s="10">
        <v>610514</v>
      </c>
      <c r="D36" s="10">
        <v>0</v>
      </c>
      <c r="E36" s="10">
        <v>610514</v>
      </c>
      <c r="F36" s="10">
        <v>307525</v>
      </c>
      <c r="G36" s="10">
        <v>0</v>
      </c>
      <c r="H36" s="10">
        <v>307525</v>
      </c>
    </row>
    <row r="37" spans="1:8" x14ac:dyDescent="0.55000000000000004">
      <c r="A37" s="10">
        <v>272</v>
      </c>
      <c r="B37" s="10">
        <v>1262695</v>
      </c>
      <c r="C37" s="10">
        <v>464377</v>
      </c>
      <c r="D37" s="10">
        <v>0</v>
      </c>
      <c r="E37" s="10">
        <v>464377</v>
      </c>
      <c r="F37" s="10">
        <v>0</v>
      </c>
      <c r="G37" s="10">
        <v>0</v>
      </c>
      <c r="H37" s="10">
        <v>0</v>
      </c>
    </row>
    <row r="38" spans="1:8" x14ac:dyDescent="0.55000000000000004">
      <c r="A38" s="10">
        <v>792</v>
      </c>
      <c r="B38" s="10">
        <v>1019516</v>
      </c>
      <c r="C38" s="10">
        <v>481667</v>
      </c>
      <c r="D38" s="10">
        <v>0</v>
      </c>
      <c r="E38" s="10">
        <v>481667</v>
      </c>
      <c r="F38" s="10">
        <v>0</v>
      </c>
      <c r="G38" s="10">
        <v>0</v>
      </c>
      <c r="H38" s="10">
        <v>0</v>
      </c>
    </row>
    <row r="39" spans="1:8" x14ac:dyDescent="0.55000000000000004">
      <c r="A39" s="10">
        <v>628</v>
      </c>
      <c r="B39" s="10">
        <v>1290182</v>
      </c>
      <c r="C39" s="10">
        <v>301007</v>
      </c>
      <c r="D39" s="10">
        <v>300</v>
      </c>
      <c r="E39" s="10">
        <v>300707</v>
      </c>
      <c r="F39" s="10">
        <v>109708</v>
      </c>
      <c r="G39" s="10">
        <v>-5547</v>
      </c>
      <c r="H39" s="10">
        <v>104161</v>
      </c>
    </row>
    <row r="40" spans="1:8" x14ac:dyDescent="0.55000000000000004">
      <c r="A40" s="10">
        <v>479</v>
      </c>
      <c r="B40" s="10">
        <v>713662</v>
      </c>
      <c r="C40" s="10">
        <v>317117</v>
      </c>
      <c r="D40" s="10">
        <v>0</v>
      </c>
      <c r="E40" s="10">
        <v>317117</v>
      </c>
      <c r="F40" s="10">
        <v>0</v>
      </c>
      <c r="G40" s="10">
        <v>0</v>
      </c>
      <c r="H40" s="10">
        <v>0</v>
      </c>
    </row>
    <row r="41" spans="1:8" x14ac:dyDescent="0.55000000000000004">
      <c r="A41" s="10">
        <v>148</v>
      </c>
      <c r="B41" s="10">
        <v>518024</v>
      </c>
      <c r="C41" s="10">
        <v>299282</v>
      </c>
      <c r="D41" s="10">
        <v>0</v>
      </c>
      <c r="E41" s="10">
        <v>299282</v>
      </c>
      <c r="F41" s="10">
        <v>0</v>
      </c>
      <c r="G41" s="10">
        <v>0</v>
      </c>
      <c r="H41" s="10">
        <v>0</v>
      </c>
    </row>
    <row r="42" spans="1:8" x14ac:dyDescent="0.55000000000000004">
      <c r="A42" s="10">
        <v>103</v>
      </c>
      <c r="B42" s="10">
        <v>500032</v>
      </c>
      <c r="C42" s="10">
        <v>535787</v>
      </c>
      <c r="D42" s="10">
        <v>-1415</v>
      </c>
      <c r="E42" s="10">
        <v>537202</v>
      </c>
      <c r="F42" s="10">
        <v>296655</v>
      </c>
      <c r="G42" s="10">
        <v>5477</v>
      </c>
      <c r="H42" s="10">
        <v>302132</v>
      </c>
    </row>
    <row r="43" spans="1:8" x14ac:dyDescent="0.55000000000000004">
      <c r="A43" s="10">
        <v>365</v>
      </c>
      <c r="B43" s="10">
        <v>1051238</v>
      </c>
      <c r="C43" s="10">
        <v>242225</v>
      </c>
      <c r="D43" s="10">
        <v>-840</v>
      </c>
      <c r="E43" s="10">
        <v>243065</v>
      </c>
      <c r="F43" s="10">
        <v>99964</v>
      </c>
      <c r="G43" s="10">
        <v>0</v>
      </c>
      <c r="H43" s="10">
        <v>99964</v>
      </c>
    </row>
    <row r="44" spans="1:8" x14ac:dyDescent="0.55000000000000004">
      <c r="A44" s="10">
        <v>253</v>
      </c>
      <c r="B44" s="10">
        <v>897490</v>
      </c>
      <c r="C44" s="10">
        <v>0</v>
      </c>
      <c r="D44" s="10">
        <v>0</v>
      </c>
      <c r="E44" s="10">
        <v>0</v>
      </c>
      <c r="F44" s="10">
        <v>145871</v>
      </c>
      <c r="G44" s="10">
        <v>8899</v>
      </c>
      <c r="H44" s="10">
        <v>154770</v>
      </c>
    </row>
    <row r="45" spans="1:8" x14ac:dyDescent="0.55000000000000004">
      <c r="A45" s="10">
        <v>895</v>
      </c>
      <c r="B45" s="10">
        <v>769411</v>
      </c>
      <c r="C45" s="10">
        <v>0</v>
      </c>
      <c r="D45" s="10">
        <v>0</v>
      </c>
      <c r="E45" s="10">
        <v>0</v>
      </c>
      <c r="F45" s="10">
        <v>130558</v>
      </c>
      <c r="G45" s="10">
        <v>577</v>
      </c>
      <c r="H45" s="10">
        <v>131135</v>
      </c>
    </row>
    <row r="46" spans="1:8" x14ac:dyDescent="0.55000000000000004">
      <c r="A46" s="10">
        <v>686</v>
      </c>
      <c r="B46" s="10">
        <v>3633736</v>
      </c>
      <c r="C46" s="10">
        <v>125764</v>
      </c>
      <c r="D46" s="10">
        <v>-13919</v>
      </c>
      <c r="E46" s="10">
        <v>139683</v>
      </c>
      <c r="F46" s="10">
        <v>0</v>
      </c>
      <c r="G46" s="10">
        <v>0</v>
      </c>
      <c r="H46" s="10">
        <v>0</v>
      </c>
    </row>
    <row r="47" spans="1:8" x14ac:dyDescent="0.55000000000000004">
      <c r="A47" s="10">
        <v>234</v>
      </c>
      <c r="B47" s="10">
        <v>412868</v>
      </c>
      <c r="C47" s="10">
        <v>397061</v>
      </c>
      <c r="D47" s="10">
        <v>0</v>
      </c>
      <c r="E47" s="10">
        <v>397061</v>
      </c>
      <c r="F47" s="10">
        <v>262762</v>
      </c>
      <c r="G47" s="10">
        <v>0</v>
      </c>
      <c r="H47" s="10">
        <v>262762</v>
      </c>
    </row>
    <row r="48" spans="1:8" x14ac:dyDescent="0.55000000000000004">
      <c r="A48" s="10">
        <v>418</v>
      </c>
      <c r="B48" s="10">
        <v>1037848</v>
      </c>
      <c r="C48" s="10">
        <v>446097</v>
      </c>
      <c r="D48" s="10">
        <v>-48</v>
      </c>
      <c r="E48" s="10">
        <v>446145</v>
      </c>
      <c r="F48" s="10">
        <v>290768</v>
      </c>
      <c r="G48" s="10">
        <v>-875</v>
      </c>
      <c r="H48" s="10">
        <v>289893</v>
      </c>
    </row>
    <row r="49" spans="1:8" x14ac:dyDescent="0.55000000000000004">
      <c r="A49" s="10">
        <v>672</v>
      </c>
      <c r="B49" s="10">
        <v>0</v>
      </c>
      <c r="C49" s="10">
        <v>626773</v>
      </c>
      <c r="D49" s="10">
        <v>2661</v>
      </c>
      <c r="E49" s="10">
        <v>624112</v>
      </c>
      <c r="F49" s="10">
        <v>418201</v>
      </c>
      <c r="G49" s="10">
        <v>3705</v>
      </c>
      <c r="H49" s="10">
        <v>421906</v>
      </c>
    </row>
    <row r="50" spans="1:8" x14ac:dyDescent="0.55000000000000004">
      <c r="A50" s="10">
        <v>560</v>
      </c>
      <c r="B50" s="10">
        <v>3711019</v>
      </c>
      <c r="C50" s="10">
        <v>1375047</v>
      </c>
      <c r="D50" s="10">
        <v>10765</v>
      </c>
      <c r="E50" s="10">
        <v>1364282</v>
      </c>
      <c r="F50" s="10">
        <v>68502</v>
      </c>
      <c r="G50" s="10">
        <v>19284</v>
      </c>
      <c r="H50" s="10">
        <v>87786</v>
      </c>
    </row>
    <row r="51" spans="1:8" x14ac:dyDescent="0.55000000000000004">
      <c r="A51" s="10">
        <v>607</v>
      </c>
      <c r="B51" s="10">
        <v>1213776</v>
      </c>
      <c r="C51" s="10">
        <v>475368</v>
      </c>
      <c r="D51" s="10">
        <v>4135</v>
      </c>
      <c r="E51" s="10">
        <v>471233</v>
      </c>
      <c r="F51" s="10">
        <v>88484</v>
      </c>
      <c r="G51" s="10">
        <v>1652</v>
      </c>
      <c r="H51" s="10">
        <v>90136</v>
      </c>
    </row>
    <row r="52" spans="1:8" x14ac:dyDescent="0.55000000000000004">
      <c r="A52" s="10">
        <v>522</v>
      </c>
      <c r="B52" s="10">
        <v>1078852</v>
      </c>
      <c r="C52" s="10">
        <v>431680</v>
      </c>
      <c r="D52" s="10">
        <v>0</v>
      </c>
      <c r="E52" s="10">
        <v>431680</v>
      </c>
      <c r="F52" s="10">
        <v>0</v>
      </c>
      <c r="G52" s="10">
        <v>0</v>
      </c>
      <c r="H52" s="10">
        <v>0</v>
      </c>
    </row>
    <row r="53" spans="1:8" x14ac:dyDescent="0.55000000000000004">
      <c r="A53" s="10">
        <v>435</v>
      </c>
      <c r="B53" s="10">
        <v>698959</v>
      </c>
      <c r="C53" s="10">
        <v>457343</v>
      </c>
      <c r="D53" s="10">
        <v>0</v>
      </c>
      <c r="E53" s="10">
        <v>457343</v>
      </c>
      <c r="F53" s="10">
        <v>0</v>
      </c>
      <c r="G53" s="10">
        <v>0</v>
      </c>
      <c r="H53" s="10">
        <v>0</v>
      </c>
    </row>
    <row r="54" spans="1:8" x14ac:dyDescent="0.55000000000000004">
      <c r="A54" s="10">
        <v>247</v>
      </c>
      <c r="B54" s="10">
        <v>1006938</v>
      </c>
      <c r="C54" s="10">
        <v>276857</v>
      </c>
      <c r="D54" s="10">
        <v>0</v>
      </c>
      <c r="E54" s="10">
        <v>276857</v>
      </c>
      <c r="F54" s="10">
        <v>0</v>
      </c>
      <c r="G54" s="10">
        <v>0</v>
      </c>
      <c r="H54" s="10">
        <v>0</v>
      </c>
    </row>
    <row r="55" spans="1:8" x14ac:dyDescent="0.55000000000000004">
      <c r="A55" s="10">
        <v>584</v>
      </c>
      <c r="B55" s="10">
        <v>791141</v>
      </c>
      <c r="C55" s="10">
        <v>373442</v>
      </c>
      <c r="D55" s="10">
        <v>0</v>
      </c>
      <c r="E55" s="10">
        <v>373442</v>
      </c>
      <c r="F55" s="10">
        <v>0</v>
      </c>
      <c r="G55" s="10">
        <v>0</v>
      </c>
      <c r="H55" s="10">
        <v>0</v>
      </c>
    </row>
    <row r="56" spans="1:8" x14ac:dyDescent="0.55000000000000004">
      <c r="A56" s="10">
        <v>605</v>
      </c>
      <c r="B56" s="10">
        <v>3446084</v>
      </c>
      <c r="C56" s="10">
        <v>856297</v>
      </c>
      <c r="D56" s="10">
        <v>8421</v>
      </c>
      <c r="E56" s="10">
        <v>847876</v>
      </c>
      <c r="F56" s="10">
        <v>530589</v>
      </c>
      <c r="G56" s="10">
        <v>-981</v>
      </c>
      <c r="H56" s="10">
        <v>529608</v>
      </c>
    </row>
    <row r="57" spans="1:8" x14ac:dyDescent="0.55000000000000004">
      <c r="A57" s="10">
        <v>300</v>
      </c>
      <c r="B57" s="10">
        <v>728710</v>
      </c>
      <c r="C57" s="10">
        <v>455831</v>
      </c>
      <c r="D57" s="10">
        <v>0</v>
      </c>
      <c r="E57" s="10">
        <v>455831</v>
      </c>
      <c r="F57" s="10">
        <v>0</v>
      </c>
      <c r="G57" s="10">
        <v>0</v>
      </c>
      <c r="H57" s="10">
        <v>0</v>
      </c>
    </row>
    <row r="58" spans="1:8" x14ac:dyDescent="0.55000000000000004">
      <c r="A58" s="10">
        <v>637</v>
      </c>
      <c r="B58" s="10">
        <v>2379075</v>
      </c>
      <c r="C58" s="10">
        <v>597617</v>
      </c>
      <c r="D58" s="10">
        <v>-5432</v>
      </c>
      <c r="E58" s="10">
        <v>603049</v>
      </c>
      <c r="F58" s="10">
        <v>284287</v>
      </c>
      <c r="G58" s="10">
        <v>-5331</v>
      </c>
      <c r="H58" s="10">
        <v>278956</v>
      </c>
    </row>
    <row r="59" spans="1:8" x14ac:dyDescent="0.55000000000000004">
      <c r="A59" s="10">
        <v>837</v>
      </c>
      <c r="B59" s="10">
        <v>1008383</v>
      </c>
      <c r="C59" s="10">
        <v>410048</v>
      </c>
      <c r="D59" s="10">
        <v>-831</v>
      </c>
      <c r="E59" s="10">
        <v>410879</v>
      </c>
      <c r="F59" s="10">
        <v>271002</v>
      </c>
      <c r="G59" s="10">
        <v>-2859</v>
      </c>
      <c r="H59" s="10">
        <v>268143</v>
      </c>
    </row>
    <row r="60" spans="1:8" x14ac:dyDescent="0.55000000000000004">
      <c r="A60" s="10">
        <v>149</v>
      </c>
      <c r="B60" s="10">
        <v>1104240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</row>
    <row r="61" spans="1:8" x14ac:dyDescent="0.55000000000000004">
      <c r="A61" s="10">
        <v>867</v>
      </c>
      <c r="B61" s="10">
        <v>3664248</v>
      </c>
      <c r="C61" s="10">
        <v>1268192</v>
      </c>
      <c r="D61" s="10">
        <v>1149</v>
      </c>
      <c r="E61" s="10">
        <v>1267043</v>
      </c>
      <c r="F61" s="10">
        <v>517920</v>
      </c>
      <c r="G61" s="10">
        <v>-1365</v>
      </c>
      <c r="H61" s="10">
        <v>516555</v>
      </c>
    </row>
    <row r="62" spans="1:8" x14ac:dyDescent="0.55000000000000004">
      <c r="A62" s="10">
        <v>903</v>
      </c>
      <c r="B62" s="10">
        <v>988405</v>
      </c>
      <c r="C62" s="10">
        <v>275601</v>
      </c>
      <c r="D62" s="10">
        <v>0</v>
      </c>
      <c r="E62" s="10">
        <v>275601</v>
      </c>
      <c r="F62" s="10">
        <v>0</v>
      </c>
      <c r="G62" s="10">
        <v>0</v>
      </c>
      <c r="H62" s="10">
        <v>0</v>
      </c>
    </row>
    <row r="63" spans="1:8" x14ac:dyDescent="0.55000000000000004">
      <c r="A63" s="10">
        <v>147</v>
      </c>
      <c r="B63" s="10">
        <v>181636</v>
      </c>
      <c r="C63" s="10">
        <v>105860</v>
      </c>
      <c r="D63" s="10">
        <v>-1182</v>
      </c>
      <c r="E63" s="10">
        <v>107042</v>
      </c>
      <c r="F63" s="10">
        <v>49984</v>
      </c>
      <c r="G63" s="10">
        <v>1984</v>
      </c>
      <c r="H63" s="10">
        <v>51968</v>
      </c>
    </row>
    <row r="64" spans="1:8" x14ac:dyDescent="0.55000000000000004">
      <c r="A64" s="10">
        <v>622</v>
      </c>
      <c r="B64" s="10">
        <v>3657292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</row>
    <row r="65" spans="1:8" x14ac:dyDescent="0.55000000000000004">
      <c r="A65" s="10">
        <v>671</v>
      </c>
      <c r="B65" s="10">
        <v>4069689</v>
      </c>
      <c r="C65" s="10">
        <v>800708</v>
      </c>
      <c r="D65" s="10">
        <v>-1420</v>
      </c>
      <c r="E65" s="10">
        <v>802128</v>
      </c>
      <c r="F65" s="10">
        <v>761909</v>
      </c>
      <c r="G65" s="10">
        <v>-7106</v>
      </c>
      <c r="H65" s="10">
        <v>754803</v>
      </c>
    </row>
    <row r="66" spans="1:8" x14ac:dyDescent="0.55000000000000004">
      <c r="A66" s="10">
        <v>608</v>
      </c>
      <c r="B66" s="10">
        <v>1984039</v>
      </c>
      <c r="C66" s="10">
        <v>501723</v>
      </c>
      <c r="D66" s="10">
        <v>-6093</v>
      </c>
      <c r="E66" s="10">
        <v>507816</v>
      </c>
      <c r="F66" s="10">
        <v>181629</v>
      </c>
      <c r="G66" s="10">
        <v>-2135</v>
      </c>
      <c r="H66" s="10">
        <v>179494</v>
      </c>
    </row>
    <row r="67" spans="1:8" x14ac:dyDescent="0.55000000000000004">
      <c r="A67" s="10">
        <v>752</v>
      </c>
      <c r="B67" s="10">
        <v>1928556</v>
      </c>
      <c r="C67" s="10">
        <v>62169</v>
      </c>
      <c r="D67" s="10">
        <v>2999</v>
      </c>
      <c r="E67" s="10">
        <v>59170</v>
      </c>
      <c r="F67" s="10">
        <v>414329</v>
      </c>
      <c r="G67" s="10">
        <v>-1773</v>
      </c>
      <c r="H67" s="10">
        <v>412556</v>
      </c>
    </row>
    <row r="68" spans="1:8" x14ac:dyDescent="0.55000000000000004">
      <c r="A68" s="10">
        <v>218</v>
      </c>
      <c r="B68" s="10">
        <v>1155999</v>
      </c>
      <c r="C68" s="10">
        <v>549388</v>
      </c>
      <c r="D68" s="10">
        <v>0</v>
      </c>
      <c r="E68" s="10">
        <v>549388</v>
      </c>
      <c r="F68" s="10">
        <v>253517</v>
      </c>
      <c r="G68" s="10">
        <v>0</v>
      </c>
      <c r="H68" s="10">
        <v>253517</v>
      </c>
    </row>
    <row r="69" spans="1:8" x14ac:dyDescent="0.55000000000000004">
      <c r="A69" s="10">
        <v>848</v>
      </c>
      <c r="B69" s="10">
        <v>1345457</v>
      </c>
      <c r="C69" s="10">
        <v>382783</v>
      </c>
      <c r="D69" s="10">
        <v>0</v>
      </c>
      <c r="E69" s="10">
        <v>382783</v>
      </c>
      <c r="F69" s="10">
        <v>98946</v>
      </c>
      <c r="G69" s="10">
        <v>0</v>
      </c>
      <c r="H69" s="10">
        <v>98946</v>
      </c>
    </row>
    <row r="70" spans="1:8" x14ac:dyDescent="0.55000000000000004">
      <c r="A70" s="10">
        <v>350</v>
      </c>
      <c r="B70" s="10">
        <v>880722</v>
      </c>
      <c r="C70" s="10">
        <v>405597</v>
      </c>
      <c r="D70" s="10">
        <v>2723</v>
      </c>
      <c r="E70" s="10">
        <v>402874</v>
      </c>
      <c r="F70" s="10">
        <v>0</v>
      </c>
      <c r="G70" s="10">
        <v>0</v>
      </c>
      <c r="H70" s="10">
        <v>0</v>
      </c>
    </row>
    <row r="71" spans="1:8" x14ac:dyDescent="0.55000000000000004">
      <c r="A71" s="10">
        <v>486</v>
      </c>
      <c r="B71" s="10">
        <v>782004</v>
      </c>
      <c r="C71" s="10">
        <v>463014</v>
      </c>
      <c r="D71" s="10">
        <v>0</v>
      </c>
      <c r="E71" s="10">
        <v>463014</v>
      </c>
      <c r="F71" s="10">
        <v>70386</v>
      </c>
      <c r="G71" s="10">
        <v>0</v>
      </c>
      <c r="H71" s="10">
        <v>70386</v>
      </c>
    </row>
    <row r="72" spans="1:8" x14ac:dyDescent="0.55000000000000004">
      <c r="A72" s="10">
        <v>731</v>
      </c>
      <c r="B72" s="10">
        <v>1704316</v>
      </c>
      <c r="C72" s="10">
        <v>452924</v>
      </c>
      <c r="D72" s="10">
        <v>2370</v>
      </c>
      <c r="E72" s="10">
        <v>450554</v>
      </c>
      <c r="F72" s="10">
        <v>193644</v>
      </c>
      <c r="G72" s="10">
        <v>294</v>
      </c>
      <c r="H72" s="10">
        <v>193938</v>
      </c>
    </row>
    <row r="73" spans="1:8" x14ac:dyDescent="0.55000000000000004">
      <c r="A73" s="10">
        <v>487</v>
      </c>
      <c r="B73" s="10">
        <v>1039144</v>
      </c>
      <c r="C73" s="10">
        <v>13082</v>
      </c>
      <c r="D73" s="10">
        <v>0</v>
      </c>
      <c r="E73" s="10">
        <v>13082</v>
      </c>
      <c r="F73" s="10">
        <v>267487</v>
      </c>
      <c r="G73" s="10">
        <v>0</v>
      </c>
      <c r="H73" s="10">
        <v>267487</v>
      </c>
    </row>
    <row r="74" spans="1:8" x14ac:dyDescent="0.55000000000000004">
      <c r="A74" s="10">
        <v>288</v>
      </c>
      <c r="B74" s="10">
        <v>683337</v>
      </c>
      <c r="C74" s="10">
        <v>244455</v>
      </c>
      <c r="D74" s="10">
        <v>0</v>
      </c>
      <c r="E74" s="10">
        <v>244455</v>
      </c>
      <c r="F74" s="10">
        <v>0</v>
      </c>
      <c r="G74" s="10">
        <v>0</v>
      </c>
      <c r="H74" s="10">
        <v>0</v>
      </c>
    </row>
    <row r="75" spans="1:8" x14ac:dyDescent="0.55000000000000004">
      <c r="A75" s="10">
        <v>803</v>
      </c>
      <c r="B75" s="10">
        <v>398247</v>
      </c>
      <c r="C75" s="10">
        <v>250339</v>
      </c>
      <c r="D75" s="10">
        <v>0</v>
      </c>
      <c r="E75" s="10">
        <v>250339</v>
      </c>
      <c r="F75" s="10">
        <v>91739</v>
      </c>
      <c r="G75" s="10">
        <v>0</v>
      </c>
      <c r="H75" s="10">
        <v>91739</v>
      </c>
    </row>
    <row r="76" spans="1:8" x14ac:dyDescent="0.55000000000000004">
      <c r="A76" s="10">
        <v>276</v>
      </c>
      <c r="B76" s="10">
        <v>675694</v>
      </c>
      <c r="C76" s="10">
        <v>339527</v>
      </c>
      <c r="D76" s="10">
        <v>0</v>
      </c>
      <c r="E76" s="10">
        <v>339527</v>
      </c>
      <c r="F76" s="10">
        <v>0</v>
      </c>
      <c r="G76" s="10">
        <v>0</v>
      </c>
      <c r="H76" s="10">
        <v>0</v>
      </c>
    </row>
    <row r="77" spans="1:8" x14ac:dyDescent="0.55000000000000004">
      <c r="A77" s="10">
        <v>209</v>
      </c>
      <c r="B77" s="10">
        <v>1135063</v>
      </c>
      <c r="C77" s="10">
        <v>408022</v>
      </c>
      <c r="D77" s="10">
        <v>1762</v>
      </c>
      <c r="E77" s="10">
        <v>406260</v>
      </c>
      <c r="F77" s="10">
        <v>106901</v>
      </c>
      <c r="G77" s="10">
        <v>471</v>
      </c>
      <c r="H77" s="10">
        <v>107372</v>
      </c>
    </row>
    <row r="78" spans="1:8" x14ac:dyDescent="0.55000000000000004">
      <c r="A78" s="10">
        <v>987</v>
      </c>
      <c r="B78" s="10">
        <v>1726965</v>
      </c>
      <c r="C78" s="10">
        <v>398632</v>
      </c>
      <c r="D78" s="10">
        <v>0</v>
      </c>
      <c r="E78" s="10">
        <v>398632</v>
      </c>
      <c r="F78" s="10">
        <v>0</v>
      </c>
      <c r="G78" s="10">
        <v>0</v>
      </c>
      <c r="H78" s="10">
        <v>0</v>
      </c>
    </row>
    <row r="79" spans="1:8" x14ac:dyDescent="0.55000000000000004">
      <c r="A79" s="10">
        <v>699</v>
      </c>
      <c r="B79" s="10">
        <v>3440553</v>
      </c>
      <c r="C79" s="10">
        <v>615479</v>
      </c>
      <c r="D79" s="10">
        <v>0</v>
      </c>
      <c r="E79" s="10">
        <v>615479</v>
      </c>
      <c r="F79" s="10">
        <v>512882</v>
      </c>
      <c r="G79" s="10">
        <v>0</v>
      </c>
      <c r="H79" s="10">
        <v>512882</v>
      </c>
    </row>
    <row r="80" spans="1:8" x14ac:dyDescent="0.55000000000000004">
      <c r="A80" s="10">
        <v>926</v>
      </c>
      <c r="B80" s="10">
        <v>1441304</v>
      </c>
      <c r="C80" s="10">
        <v>389289</v>
      </c>
      <c r="D80" s="10">
        <v>0</v>
      </c>
      <c r="E80" s="10">
        <v>389289</v>
      </c>
      <c r="F80" s="10">
        <v>375440</v>
      </c>
      <c r="G80" s="10">
        <v>0</v>
      </c>
      <c r="H80" s="10">
        <v>375440</v>
      </c>
    </row>
    <row r="81" spans="1:8" x14ac:dyDescent="0.55000000000000004">
      <c r="A81" s="10">
        <v>701</v>
      </c>
      <c r="B81" s="10">
        <v>0</v>
      </c>
      <c r="C81" s="10">
        <v>206983</v>
      </c>
      <c r="D81" s="10">
        <v>0</v>
      </c>
      <c r="E81" s="10">
        <v>206983</v>
      </c>
      <c r="F81" s="10">
        <v>135954</v>
      </c>
      <c r="G81" s="10">
        <v>0</v>
      </c>
      <c r="H81" s="10">
        <v>135954</v>
      </c>
    </row>
    <row r="82" spans="1:8" x14ac:dyDescent="0.55000000000000004">
      <c r="A82" s="10">
        <v>902</v>
      </c>
      <c r="B82" s="10">
        <v>1246210</v>
      </c>
      <c r="C82" s="10">
        <v>382650</v>
      </c>
      <c r="D82" s="10">
        <v>0</v>
      </c>
      <c r="E82" s="10">
        <v>382650</v>
      </c>
      <c r="F82" s="10">
        <v>257423</v>
      </c>
      <c r="G82" s="10">
        <v>0</v>
      </c>
      <c r="H82" s="10">
        <v>257423</v>
      </c>
    </row>
    <row r="83" spans="1:8" x14ac:dyDescent="0.55000000000000004">
      <c r="A83" s="10">
        <v>232</v>
      </c>
      <c r="B83" s="10">
        <v>2964108</v>
      </c>
      <c r="C83" s="10">
        <v>1242881</v>
      </c>
      <c r="D83" s="10">
        <v>7891</v>
      </c>
      <c r="E83" s="10">
        <v>1234990</v>
      </c>
      <c r="F83" s="10">
        <v>335167</v>
      </c>
      <c r="G83" s="10">
        <v>-424</v>
      </c>
      <c r="H83" s="10">
        <v>334743</v>
      </c>
    </row>
    <row r="84" spans="1:8" x14ac:dyDescent="0.55000000000000004">
      <c r="A84" s="10">
        <v>501</v>
      </c>
      <c r="B84" s="10">
        <v>4793308</v>
      </c>
      <c r="C84" s="10">
        <v>1209546</v>
      </c>
      <c r="D84" s="10">
        <v>5141</v>
      </c>
      <c r="E84" s="10">
        <v>1204405</v>
      </c>
      <c r="F84" s="10">
        <v>598707</v>
      </c>
      <c r="G84" s="10">
        <v>1729</v>
      </c>
      <c r="H84" s="10">
        <v>600436</v>
      </c>
    </row>
    <row r="85" spans="1:8" x14ac:dyDescent="0.55000000000000004">
      <c r="A85" s="10">
        <v>817</v>
      </c>
      <c r="B85" s="10">
        <v>1008822</v>
      </c>
      <c r="C85" s="10">
        <v>359818</v>
      </c>
      <c r="D85" s="10">
        <v>-2925</v>
      </c>
      <c r="E85" s="10">
        <v>362743</v>
      </c>
      <c r="F85" s="10">
        <v>170729</v>
      </c>
      <c r="G85" s="10">
        <v>-4516</v>
      </c>
      <c r="H85" s="10">
        <v>166213</v>
      </c>
    </row>
    <row r="86" spans="1:8" x14ac:dyDescent="0.55000000000000004">
      <c r="A86" s="10">
        <v>881</v>
      </c>
      <c r="B86" s="10">
        <v>665069</v>
      </c>
      <c r="C86" s="10">
        <v>383873</v>
      </c>
      <c r="D86" s="10">
        <v>967</v>
      </c>
      <c r="E86" s="10">
        <v>382906</v>
      </c>
      <c r="F86" s="10">
        <v>48547</v>
      </c>
      <c r="G86" s="10">
        <v>-6880</v>
      </c>
      <c r="H86" s="10">
        <v>41667</v>
      </c>
    </row>
    <row r="87" spans="1:8" x14ac:dyDescent="0.55000000000000004">
      <c r="A87" s="10">
        <v>360</v>
      </c>
      <c r="B87" s="10">
        <v>609760</v>
      </c>
      <c r="C87" s="10">
        <v>244167</v>
      </c>
      <c r="D87" s="10">
        <v>0</v>
      </c>
      <c r="E87" s="10">
        <v>244167</v>
      </c>
      <c r="F87" s="10">
        <v>0</v>
      </c>
      <c r="G87" s="10">
        <v>0</v>
      </c>
      <c r="H87" s="10">
        <v>0</v>
      </c>
    </row>
    <row r="88" spans="1:8" x14ac:dyDescent="0.55000000000000004">
      <c r="A88" s="10">
        <v>956</v>
      </c>
      <c r="B88" s="10">
        <v>2057098</v>
      </c>
      <c r="C88" s="10">
        <v>0</v>
      </c>
      <c r="D88" s="10">
        <v>0</v>
      </c>
      <c r="E88" s="10">
        <v>0</v>
      </c>
      <c r="F88" s="10">
        <v>264623</v>
      </c>
      <c r="G88" s="10">
        <v>-1210</v>
      </c>
      <c r="H88" s="10">
        <v>263413</v>
      </c>
    </row>
    <row r="89" spans="1:8" x14ac:dyDescent="0.55000000000000004">
      <c r="A89" s="10">
        <v>463</v>
      </c>
      <c r="B89" s="10">
        <v>1514327</v>
      </c>
      <c r="C89" s="10">
        <v>701772</v>
      </c>
      <c r="D89" s="10">
        <v>-2624</v>
      </c>
      <c r="E89" s="10">
        <v>704396</v>
      </c>
      <c r="F89" s="10">
        <v>226519</v>
      </c>
      <c r="G89" s="10">
        <v>649</v>
      </c>
      <c r="H89" s="10">
        <v>227168</v>
      </c>
    </row>
    <row r="90" spans="1:8" x14ac:dyDescent="0.55000000000000004">
      <c r="A90" s="10">
        <v>705</v>
      </c>
      <c r="B90" s="10">
        <v>2752430</v>
      </c>
      <c r="C90" s="10">
        <v>651712</v>
      </c>
      <c r="D90" s="10">
        <v>0</v>
      </c>
      <c r="E90" s="10">
        <v>651712</v>
      </c>
      <c r="F90" s="10">
        <v>0</v>
      </c>
      <c r="G90" s="10">
        <v>0</v>
      </c>
      <c r="H90" s="10">
        <v>0</v>
      </c>
    </row>
    <row r="91" spans="1:8" x14ac:dyDescent="0.55000000000000004">
      <c r="A91" s="10">
        <v>914</v>
      </c>
      <c r="B91" s="10">
        <v>1008072</v>
      </c>
      <c r="C91" s="10">
        <v>410396</v>
      </c>
      <c r="D91" s="10">
        <v>0</v>
      </c>
      <c r="E91" s="10">
        <v>410396</v>
      </c>
      <c r="F91" s="10">
        <v>0</v>
      </c>
      <c r="G91" s="10">
        <v>0</v>
      </c>
      <c r="H91" s="10">
        <v>0</v>
      </c>
    </row>
    <row r="92" spans="1:8" x14ac:dyDescent="0.55000000000000004">
      <c r="A92" s="10">
        <v>712</v>
      </c>
      <c r="B92" s="10">
        <v>1110778</v>
      </c>
      <c r="C92" s="10">
        <v>401901</v>
      </c>
      <c r="D92" s="10">
        <v>0</v>
      </c>
      <c r="E92" s="10">
        <v>401901</v>
      </c>
      <c r="F92" s="10">
        <v>193384</v>
      </c>
      <c r="G92" s="10">
        <v>0</v>
      </c>
      <c r="H92" s="10">
        <v>193384</v>
      </c>
    </row>
    <row r="93" spans="1:8" x14ac:dyDescent="0.55000000000000004">
      <c r="A93" s="10">
        <v>223</v>
      </c>
      <c r="B93" s="10">
        <v>1974904</v>
      </c>
      <c r="C93" s="10">
        <v>526372</v>
      </c>
      <c r="D93" s="10">
        <v>5350</v>
      </c>
      <c r="E93" s="10">
        <v>521022</v>
      </c>
      <c r="F93" s="10">
        <v>-79</v>
      </c>
      <c r="G93" s="10">
        <v>0</v>
      </c>
      <c r="H93" s="10">
        <v>-79</v>
      </c>
    </row>
    <row r="94" spans="1:8" x14ac:dyDescent="0.55000000000000004">
      <c r="A94" s="10">
        <v>934</v>
      </c>
      <c r="B94" s="10">
        <v>868937</v>
      </c>
      <c r="C94" s="10">
        <v>337696</v>
      </c>
      <c r="D94" s="10">
        <v>1831</v>
      </c>
      <c r="E94" s="10">
        <v>335865</v>
      </c>
      <c r="F94" s="10">
        <v>274458</v>
      </c>
      <c r="G94" s="10">
        <v>-10089</v>
      </c>
      <c r="H94" s="10">
        <v>264369</v>
      </c>
    </row>
    <row r="95" spans="1:8" x14ac:dyDescent="0.55000000000000004">
      <c r="A95" s="10">
        <v>263</v>
      </c>
      <c r="B95" s="10">
        <v>855615</v>
      </c>
      <c r="C95" s="10">
        <v>309893</v>
      </c>
      <c r="D95" s="10">
        <v>0</v>
      </c>
      <c r="E95" s="10">
        <v>309893</v>
      </c>
      <c r="F95" s="10">
        <v>97708</v>
      </c>
      <c r="G95" s="10">
        <v>0</v>
      </c>
      <c r="H95" s="10">
        <v>97708</v>
      </c>
    </row>
    <row r="96" spans="1:8" x14ac:dyDescent="0.55000000000000004">
      <c r="A96" s="10">
        <v>440</v>
      </c>
      <c r="B96" s="10">
        <v>1090634</v>
      </c>
      <c r="C96" s="10">
        <v>450748</v>
      </c>
      <c r="D96" s="10">
        <v>-6664</v>
      </c>
      <c r="E96" s="10">
        <v>457412</v>
      </c>
      <c r="F96" s="10">
        <v>67161</v>
      </c>
      <c r="G96" s="10">
        <v>-341</v>
      </c>
      <c r="H96" s="10">
        <v>66820</v>
      </c>
    </row>
    <row r="97" spans="1:8" x14ac:dyDescent="0.55000000000000004">
      <c r="A97" s="10">
        <v>535</v>
      </c>
      <c r="B97" s="10">
        <v>879354</v>
      </c>
      <c r="C97" s="10">
        <v>237391</v>
      </c>
      <c r="D97" s="10">
        <v>1361</v>
      </c>
      <c r="E97" s="10">
        <v>236030</v>
      </c>
      <c r="F97" s="10">
        <v>54488</v>
      </c>
      <c r="G97" s="10">
        <v>643</v>
      </c>
      <c r="H97" s="10">
        <v>55131</v>
      </c>
    </row>
    <row r="98" spans="1:8" x14ac:dyDescent="0.55000000000000004">
      <c r="A98" s="10">
        <v>372</v>
      </c>
      <c r="B98" s="10">
        <v>2122433</v>
      </c>
      <c r="C98" s="10">
        <v>300570</v>
      </c>
      <c r="D98" s="10">
        <v>0</v>
      </c>
      <c r="E98" s="10">
        <v>300570</v>
      </c>
      <c r="F98" s="10">
        <v>216741</v>
      </c>
      <c r="G98" s="10">
        <v>0</v>
      </c>
      <c r="H98" s="10">
        <v>216741</v>
      </c>
    </row>
    <row r="99" spans="1:8" x14ac:dyDescent="0.55000000000000004">
      <c r="A99" s="10">
        <v>512</v>
      </c>
      <c r="B99" s="10">
        <v>259053</v>
      </c>
      <c r="C99" s="10">
        <v>109441</v>
      </c>
      <c r="D99" s="10">
        <v>383</v>
      </c>
      <c r="E99" s="10">
        <v>109058</v>
      </c>
      <c r="F99" s="10">
        <v>157</v>
      </c>
      <c r="G99" s="10">
        <v>0</v>
      </c>
      <c r="H99" s="10">
        <v>157</v>
      </c>
    </row>
    <row r="100" spans="1:8" x14ac:dyDescent="0.55000000000000004">
      <c r="A100" s="10">
        <v>894</v>
      </c>
      <c r="B100" s="10">
        <v>1162393</v>
      </c>
      <c r="C100" s="10">
        <v>171209</v>
      </c>
      <c r="D100" s="10">
        <v>-19427</v>
      </c>
      <c r="E100" s="10">
        <v>190636</v>
      </c>
      <c r="F100" s="10">
        <v>150529</v>
      </c>
      <c r="G100" s="10">
        <v>497</v>
      </c>
      <c r="H100" s="10">
        <v>151026</v>
      </c>
    </row>
    <row r="101" spans="1:8" x14ac:dyDescent="0.55000000000000004">
      <c r="A101" s="10">
        <v>185</v>
      </c>
      <c r="B101" s="10">
        <v>665950</v>
      </c>
      <c r="C101" s="10">
        <v>257219</v>
      </c>
      <c r="D101" s="10">
        <v>0</v>
      </c>
      <c r="E101" s="10">
        <v>257219</v>
      </c>
      <c r="F101" s="10">
        <v>127141</v>
      </c>
      <c r="G101" s="10">
        <v>0</v>
      </c>
      <c r="H101" s="10">
        <v>127141</v>
      </c>
    </row>
    <row r="102" spans="1:8" x14ac:dyDescent="0.55000000000000004">
      <c r="A102" s="10">
        <v>395</v>
      </c>
      <c r="B102" s="10">
        <v>1449430</v>
      </c>
      <c r="C102" s="10">
        <v>0</v>
      </c>
      <c r="D102" s="10">
        <v>0</v>
      </c>
      <c r="E102" s="10">
        <v>0</v>
      </c>
      <c r="F102" s="10">
        <v>286585</v>
      </c>
      <c r="G102" s="10">
        <v>-715</v>
      </c>
      <c r="H102" s="10">
        <v>285870</v>
      </c>
    </row>
    <row r="103" spans="1:8" x14ac:dyDescent="0.55000000000000004">
      <c r="A103" s="10">
        <v>383</v>
      </c>
      <c r="B103" s="10">
        <v>1062840</v>
      </c>
      <c r="C103" s="10">
        <v>289958</v>
      </c>
      <c r="D103" s="10">
        <v>350</v>
      </c>
      <c r="E103" s="10">
        <v>289608</v>
      </c>
      <c r="F103" s="10">
        <v>94503</v>
      </c>
      <c r="G103" s="10">
        <v>-632</v>
      </c>
      <c r="H103" s="10">
        <v>93871</v>
      </c>
    </row>
    <row r="104" spans="1:8" x14ac:dyDescent="0.55000000000000004">
      <c r="A104" s="10">
        <v>735</v>
      </c>
      <c r="B104" s="10">
        <v>912286</v>
      </c>
      <c r="C104" s="10">
        <v>245220</v>
      </c>
      <c r="D104" s="10">
        <v>0</v>
      </c>
      <c r="E104" s="10">
        <v>245220</v>
      </c>
      <c r="F104" s="10">
        <v>0</v>
      </c>
      <c r="G104" s="10">
        <v>0</v>
      </c>
      <c r="H104" s="10">
        <v>0</v>
      </c>
    </row>
    <row r="105" spans="1:8" x14ac:dyDescent="0.55000000000000004">
      <c r="A105" s="10">
        <v>873</v>
      </c>
      <c r="B105" s="10">
        <v>488587</v>
      </c>
      <c r="C105" s="10">
        <v>320766</v>
      </c>
      <c r="D105" s="10">
        <v>0</v>
      </c>
      <c r="E105" s="10">
        <v>320766</v>
      </c>
      <c r="F105" s="10">
        <v>0</v>
      </c>
      <c r="G105" s="10">
        <v>0</v>
      </c>
      <c r="H105" s="10">
        <v>0</v>
      </c>
    </row>
    <row r="106" spans="1:8" x14ac:dyDescent="0.55000000000000004">
      <c r="A106" s="10">
        <v>692</v>
      </c>
      <c r="B106" s="10">
        <v>399150</v>
      </c>
      <c r="C106" s="10">
        <v>212120</v>
      </c>
      <c r="D106" s="10">
        <v>-4075</v>
      </c>
      <c r="E106" s="10">
        <v>216195</v>
      </c>
      <c r="F106" s="10">
        <v>85420</v>
      </c>
      <c r="G106" s="10">
        <v>-230</v>
      </c>
      <c r="H106" s="10">
        <v>85190</v>
      </c>
    </row>
    <row r="107" spans="1:8" x14ac:dyDescent="0.55000000000000004">
      <c r="A107" s="10">
        <v>319</v>
      </c>
      <c r="B107" s="10">
        <v>1223612</v>
      </c>
      <c r="C107" s="10">
        <v>0</v>
      </c>
      <c r="D107" s="10">
        <v>0</v>
      </c>
      <c r="E107" s="10">
        <v>0</v>
      </c>
      <c r="F107" s="10">
        <v>1226</v>
      </c>
      <c r="G107" s="10">
        <v>0</v>
      </c>
      <c r="H107" s="10">
        <v>1226</v>
      </c>
    </row>
    <row r="108" spans="1:8" x14ac:dyDescent="0.55000000000000004">
      <c r="A108" s="10">
        <v>122</v>
      </c>
      <c r="B108" s="10">
        <v>1915366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</row>
    <row r="109" spans="1:8" x14ac:dyDescent="0.55000000000000004">
      <c r="A109" s="10">
        <v>646</v>
      </c>
      <c r="B109" s="10">
        <v>1991672</v>
      </c>
      <c r="C109" s="10">
        <v>901282</v>
      </c>
      <c r="D109" s="10">
        <v>-2772</v>
      </c>
      <c r="E109" s="10">
        <v>904054</v>
      </c>
      <c r="F109" s="10">
        <v>148659</v>
      </c>
      <c r="G109" s="10">
        <v>301</v>
      </c>
      <c r="H109" s="10">
        <v>148960</v>
      </c>
    </row>
    <row r="110" spans="1:8" x14ac:dyDescent="0.55000000000000004">
      <c r="A110" s="10">
        <v>432</v>
      </c>
      <c r="B110" s="10">
        <v>646807</v>
      </c>
      <c r="C110" s="10">
        <v>0</v>
      </c>
      <c r="D110" s="10">
        <v>0</v>
      </c>
      <c r="E110" s="10">
        <v>0</v>
      </c>
      <c r="F110" s="10">
        <v>40159</v>
      </c>
      <c r="G110" s="10">
        <v>0</v>
      </c>
      <c r="H110" s="10">
        <v>40159</v>
      </c>
    </row>
    <row r="111" spans="1:8" x14ac:dyDescent="0.55000000000000004">
      <c r="A111" s="10">
        <v>781</v>
      </c>
      <c r="B111" s="10">
        <v>892259</v>
      </c>
      <c r="C111" s="10">
        <v>317900</v>
      </c>
      <c r="D111" s="10">
        <v>-1538</v>
      </c>
      <c r="E111" s="10">
        <v>319438</v>
      </c>
      <c r="F111" s="10">
        <v>62034</v>
      </c>
      <c r="G111" s="10">
        <v>24</v>
      </c>
      <c r="H111" s="10">
        <v>62058</v>
      </c>
    </row>
    <row r="112" spans="1:8" x14ac:dyDescent="0.55000000000000004">
      <c r="A112" s="10">
        <v>728</v>
      </c>
      <c r="B112" s="10">
        <v>755342</v>
      </c>
      <c r="C112" s="10">
        <v>197331</v>
      </c>
      <c r="D112" s="10">
        <v>653</v>
      </c>
      <c r="E112" s="10">
        <v>196678</v>
      </c>
      <c r="F112" s="10">
        <v>188781</v>
      </c>
      <c r="G112" s="10">
        <v>389</v>
      </c>
      <c r="H112" s="10">
        <v>189170</v>
      </c>
    </row>
    <row r="113" spans="1:8" x14ac:dyDescent="0.55000000000000004">
      <c r="A113" s="10">
        <v>660</v>
      </c>
      <c r="B113" s="10">
        <v>880938</v>
      </c>
      <c r="C113" s="10">
        <v>217666</v>
      </c>
      <c r="D113" s="10">
        <v>-7886</v>
      </c>
      <c r="E113" s="10">
        <v>225552</v>
      </c>
      <c r="F113" s="10">
        <v>119924</v>
      </c>
      <c r="G113" s="10">
        <v>816</v>
      </c>
      <c r="H113" s="10">
        <v>120740</v>
      </c>
    </row>
    <row r="114" spans="1:8" x14ac:dyDescent="0.55000000000000004">
      <c r="A114" s="10">
        <v>733</v>
      </c>
      <c r="B114" s="10">
        <v>465641</v>
      </c>
      <c r="C114" s="10">
        <v>189114</v>
      </c>
      <c r="D114" s="10">
        <v>2917</v>
      </c>
      <c r="E114" s="10">
        <v>186197</v>
      </c>
      <c r="F114" s="10">
        <v>44099</v>
      </c>
      <c r="G114" s="10">
        <v>-598</v>
      </c>
      <c r="H114" s="10">
        <v>43501</v>
      </c>
    </row>
    <row r="115" spans="1:8" x14ac:dyDescent="0.55000000000000004">
      <c r="A115" s="10">
        <v>532</v>
      </c>
      <c r="B115" s="10">
        <v>558093</v>
      </c>
      <c r="C115" s="10">
        <v>107689</v>
      </c>
      <c r="D115" s="10">
        <v>0</v>
      </c>
      <c r="E115" s="10">
        <v>107689</v>
      </c>
      <c r="F115" s="10">
        <v>0</v>
      </c>
      <c r="G115" s="10">
        <v>0</v>
      </c>
      <c r="H115" s="10">
        <v>0</v>
      </c>
    </row>
    <row r="116" spans="1:8" x14ac:dyDescent="0.55000000000000004">
      <c r="A116" s="10">
        <v>883</v>
      </c>
      <c r="B116" s="10">
        <v>2271847</v>
      </c>
      <c r="C116" s="10">
        <v>491186.48982052028</v>
      </c>
      <c r="D116" s="10">
        <v>0</v>
      </c>
      <c r="E116" s="10">
        <v>491186.48982052028</v>
      </c>
      <c r="F116" s="10">
        <v>351518.00431129214</v>
      </c>
      <c r="G116" s="10">
        <v>0</v>
      </c>
      <c r="H116" s="10">
        <v>351518.00431129214</v>
      </c>
    </row>
    <row r="117" spans="1:8" x14ac:dyDescent="0.55000000000000004">
      <c r="A117" s="10">
        <v>136</v>
      </c>
      <c r="B117" s="10">
        <v>1142269</v>
      </c>
      <c r="C117" s="10">
        <v>278602</v>
      </c>
      <c r="D117" s="10">
        <v>-7305</v>
      </c>
      <c r="E117" s="10">
        <v>285907</v>
      </c>
      <c r="F117" s="10">
        <v>135223</v>
      </c>
      <c r="G117" s="10">
        <v>-483</v>
      </c>
      <c r="H117" s="10">
        <v>134740</v>
      </c>
    </row>
    <row r="118" spans="1:8" x14ac:dyDescent="0.55000000000000004">
      <c r="A118" s="10">
        <v>748</v>
      </c>
      <c r="B118" s="10">
        <v>378366</v>
      </c>
      <c r="C118" s="10">
        <v>107419</v>
      </c>
      <c r="D118" s="10">
        <v>-2317</v>
      </c>
      <c r="E118" s="10">
        <v>109736</v>
      </c>
      <c r="F118" s="10">
        <v>28327</v>
      </c>
      <c r="G118" s="10">
        <v>-2413</v>
      </c>
      <c r="H118" s="10">
        <v>25914</v>
      </c>
    </row>
    <row r="119" spans="1:8" x14ac:dyDescent="0.55000000000000004">
      <c r="A119" s="10">
        <v>296</v>
      </c>
      <c r="B119" s="10">
        <v>998842</v>
      </c>
      <c r="C119" s="10">
        <v>321203</v>
      </c>
      <c r="D119" s="10">
        <v>-4059</v>
      </c>
      <c r="E119" s="10">
        <v>325262</v>
      </c>
      <c r="F119" s="10">
        <v>73397</v>
      </c>
      <c r="G119" s="10">
        <v>-2166</v>
      </c>
      <c r="H119" s="10">
        <v>71231</v>
      </c>
    </row>
    <row r="120" spans="1:8" x14ac:dyDescent="0.55000000000000004">
      <c r="A120" s="10">
        <v>184</v>
      </c>
      <c r="B120" s="10">
        <v>683251</v>
      </c>
      <c r="C120" s="10">
        <v>193988</v>
      </c>
      <c r="D120" s="10">
        <v>593</v>
      </c>
      <c r="E120" s="10">
        <v>193395</v>
      </c>
      <c r="F120" s="10">
        <v>37373</v>
      </c>
      <c r="G120" s="10">
        <v>247</v>
      </c>
      <c r="H120" s="10">
        <v>37620</v>
      </c>
    </row>
    <row r="121" spans="1:8" x14ac:dyDescent="0.55000000000000004">
      <c r="A121" s="10">
        <v>702</v>
      </c>
      <c r="B121" s="10">
        <v>1103383</v>
      </c>
      <c r="C121" s="10">
        <v>356865</v>
      </c>
      <c r="D121" s="10">
        <v>0</v>
      </c>
      <c r="E121" s="10">
        <v>356865</v>
      </c>
      <c r="F121" s="10">
        <v>112167</v>
      </c>
      <c r="G121" s="10">
        <v>0</v>
      </c>
      <c r="H121" s="10">
        <v>112167</v>
      </c>
    </row>
    <row r="122" spans="1:8" x14ac:dyDescent="0.55000000000000004">
      <c r="A122" s="10">
        <v>999</v>
      </c>
      <c r="B122" s="10">
        <v>2546554</v>
      </c>
      <c r="C122" s="10">
        <v>581756</v>
      </c>
      <c r="D122" s="10">
        <v>-474</v>
      </c>
      <c r="E122" s="10">
        <v>582230</v>
      </c>
      <c r="F122" s="10">
        <v>264166</v>
      </c>
      <c r="G122" s="10">
        <v>1917</v>
      </c>
      <c r="H122" s="10">
        <v>266083</v>
      </c>
    </row>
    <row r="123" spans="1:8" x14ac:dyDescent="0.55000000000000004">
      <c r="A123" s="10">
        <v>822</v>
      </c>
      <c r="B123" s="10">
        <v>2342425</v>
      </c>
      <c r="C123" s="10">
        <v>0</v>
      </c>
      <c r="D123" s="10">
        <v>0</v>
      </c>
      <c r="E123" s="10">
        <v>0</v>
      </c>
      <c r="F123" s="10">
        <v>301740</v>
      </c>
      <c r="G123" s="10">
        <v>0</v>
      </c>
      <c r="H123" s="10">
        <v>301740</v>
      </c>
    </row>
    <row r="124" spans="1:8" x14ac:dyDescent="0.55000000000000004">
      <c r="A124" s="10">
        <v>183</v>
      </c>
      <c r="B124" s="10">
        <v>453752</v>
      </c>
      <c r="C124" s="10">
        <v>176727.52335556695</v>
      </c>
      <c r="D124" s="10">
        <v>0</v>
      </c>
      <c r="E124" s="10">
        <v>176727.52335556695</v>
      </c>
      <c r="F124" s="10">
        <v>97180.922592913514</v>
      </c>
      <c r="G124" s="10">
        <v>0</v>
      </c>
      <c r="H124" s="10">
        <v>97180.922592913514</v>
      </c>
    </row>
    <row r="125" spans="1:8" x14ac:dyDescent="0.55000000000000004">
      <c r="A125" s="10">
        <v>164</v>
      </c>
      <c r="B125" s="10">
        <v>1358620</v>
      </c>
      <c r="C125" s="10">
        <v>281509.45974238031</v>
      </c>
      <c r="D125" s="10">
        <v>0</v>
      </c>
      <c r="E125" s="10">
        <v>281509.45974238031</v>
      </c>
      <c r="F125" s="10">
        <v>353734.97362649383</v>
      </c>
      <c r="G125" s="10">
        <v>0</v>
      </c>
      <c r="H125" s="10">
        <v>353734.97362649383</v>
      </c>
    </row>
    <row r="126" spans="1:8" x14ac:dyDescent="0.55000000000000004">
      <c r="A126" s="10">
        <v>157</v>
      </c>
      <c r="B126" s="10">
        <v>949107</v>
      </c>
      <c r="C126" s="10">
        <v>350372</v>
      </c>
      <c r="D126" s="10">
        <v>3411</v>
      </c>
      <c r="E126" s="10">
        <v>346961</v>
      </c>
      <c r="F126" s="10">
        <v>75014</v>
      </c>
      <c r="G126" s="10">
        <v>1051</v>
      </c>
      <c r="H126" s="10">
        <v>76065</v>
      </c>
    </row>
    <row r="127" spans="1:8" x14ac:dyDescent="0.55000000000000004">
      <c r="A127" s="10">
        <v>951</v>
      </c>
      <c r="B127" s="10">
        <v>1640529</v>
      </c>
      <c r="C127" s="10">
        <v>392596</v>
      </c>
      <c r="D127" s="10">
        <v>0</v>
      </c>
      <c r="E127" s="10">
        <v>392596</v>
      </c>
      <c r="F127" s="10">
        <v>107358</v>
      </c>
      <c r="G127" s="10">
        <v>0</v>
      </c>
      <c r="H127" s="10">
        <v>107358</v>
      </c>
    </row>
    <row r="128" spans="1:8" x14ac:dyDescent="0.55000000000000004">
      <c r="A128" s="10">
        <v>314</v>
      </c>
      <c r="B128" s="10">
        <v>918981</v>
      </c>
      <c r="C128" s="10">
        <v>336351</v>
      </c>
      <c r="D128" s="10">
        <v>0</v>
      </c>
      <c r="E128" s="10">
        <v>336351</v>
      </c>
      <c r="F128" s="10">
        <v>98200</v>
      </c>
      <c r="G128" s="10">
        <v>0</v>
      </c>
      <c r="H128" s="10">
        <v>98200</v>
      </c>
    </row>
    <row r="129" spans="1:8" x14ac:dyDescent="0.55000000000000004">
      <c r="A129" s="10">
        <v>576</v>
      </c>
      <c r="B129" s="10">
        <v>921072</v>
      </c>
      <c r="C129" s="10">
        <v>240500</v>
      </c>
      <c r="D129" s="10">
        <v>0</v>
      </c>
      <c r="E129" s="10">
        <v>240500</v>
      </c>
      <c r="F129" s="10">
        <v>80759</v>
      </c>
      <c r="G129" s="10">
        <v>0</v>
      </c>
      <c r="H129" s="10">
        <v>80759</v>
      </c>
    </row>
    <row r="130" spans="1:8" x14ac:dyDescent="0.55000000000000004">
      <c r="A130" s="10">
        <v>514</v>
      </c>
      <c r="B130" s="10">
        <v>954532</v>
      </c>
      <c r="C130" s="10">
        <v>230646</v>
      </c>
      <c r="D130" s="10">
        <v>0</v>
      </c>
      <c r="E130" s="10">
        <v>230646</v>
      </c>
      <c r="F130" s="10">
        <v>86944</v>
      </c>
      <c r="G130" s="10">
        <v>0</v>
      </c>
      <c r="H130" s="10">
        <v>86944</v>
      </c>
    </row>
    <row r="131" spans="1:8" x14ac:dyDescent="0.55000000000000004">
      <c r="A131" s="10">
        <v>836</v>
      </c>
      <c r="B131" s="10">
        <v>1833166</v>
      </c>
      <c r="C131" s="10">
        <v>518964</v>
      </c>
      <c r="D131" s="10">
        <v>0</v>
      </c>
      <c r="E131" s="10">
        <v>518964</v>
      </c>
      <c r="F131" s="10">
        <v>202536</v>
      </c>
      <c r="G131" s="10">
        <v>0</v>
      </c>
      <c r="H131" s="10">
        <v>202536</v>
      </c>
    </row>
    <row r="132" spans="1:8" x14ac:dyDescent="0.55000000000000004">
      <c r="A132" s="10">
        <v>783</v>
      </c>
      <c r="B132" s="10">
        <v>723982</v>
      </c>
      <c r="C132" s="10">
        <v>340351</v>
      </c>
      <c r="D132" s="10">
        <v>-232</v>
      </c>
      <c r="E132" s="10">
        <v>340583</v>
      </c>
      <c r="F132" s="10">
        <v>151289</v>
      </c>
      <c r="G132" s="10">
        <v>40</v>
      </c>
      <c r="H132" s="10">
        <v>151329</v>
      </c>
    </row>
    <row r="133" spans="1:8" x14ac:dyDescent="0.55000000000000004">
      <c r="A133" s="10">
        <v>594</v>
      </c>
      <c r="B133" s="10">
        <v>751753</v>
      </c>
      <c r="C133" s="10">
        <v>317869</v>
      </c>
      <c r="D133" s="10">
        <v>-1185</v>
      </c>
      <c r="E133" s="10">
        <v>319054</v>
      </c>
      <c r="F133" s="10">
        <v>103771</v>
      </c>
      <c r="G133" s="10">
        <v>1229</v>
      </c>
      <c r="H133" s="10">
        <v>105000</v>
      </c>
    </row>
    <row r="134" spans="1:8" x14ac:dyDescent="0.55000000000000004">
      <c r="A134" s="10">
        <v>295</v>
      </c>
      <c r="B134" s="10">
        <v>868767</v>
      </c>
      <c r="C134" s="10">
        <v>217276</v>
      </c>
      <c r="D134" s="10">
        <v>-180</v>
      </c>
      <c r="E134" s="10">
        <v>217456</v>
      </c>
      <c r="F134" s="10">
        <v>51834</v>
      </c>
      <c r="G134" s="10">
        <v>347</v>
      </c>
      <c r="H134" s="10">
        <v>52181</v>
      </c>
    </row>
    <row r="135" spans="1:8" x14ac:dyDescent="0.55000000000000004">
      <c r="A135" s="10">
        <v>374</v>
      </c>
      <c r="B135" s="10">
        <v>986148</v>
      </c>
      <c r="C135" s="10">
        <v>517899.38785160088</v>
      </c>
      <c r="D135" s="10">
        <v>0</v>
      </c>
      <c r="E135" s="10">
        <v>517899.38785160088</v>
      </c>
      <c r="F135" s="10">
        <v>122215.07573412744</v>
      </c>
      <c r="G135" s="10">
        <v>0</v>
      </c>
      <c r="H135" s="10">
        <v>122215.07573412744</v>
      </c>
    </row>
    <row r="136" spans="1:8" x14ac:dyDescent="0.55000000000000004">
      <c r="A136" s="10">
        <v>623</v>
      </c>
      <c r="B136" s="10">
        <v>994438</v>
      </c>
      <c r="C136" s="10">
        <v>265616</v>
      </c>
      <c r="D136" s="10">
        <v>0</v>
      </c>
      <c r="E136" s="10">
        <v>265616</v>
      </c>
      <c r="F136" s="10">
        <v>61892</v>
      </c>
      <c r="G136" s="10">
        <v>0</v>
      </c>
      <c r="H136" s="10">
        <v>61892</v>
      </c>
    </row>
    <row r="137" spans="1:8" x14ac:dyDescent="0.55000000000000004">
      <c r="A137" s="10">
        <v>601</v>
      </c>
      <c r="B137" s="10">
        <v>1516217</v>
      </c>
      <c r="C137" s="10">
        <v>399943</v>
      </c>
      <c r="D137" s="10">
        <v>3611</v>
      </c>
      <c r="E137" s="10">
        <v>396332</v>
      </c>
      <c r="F137" s="10">
        <v>214373</v>
      </c>
      <c r="G137" s="10">
        <v>1960</v>
      </c>
      <c r="H137" s="10">
        <v>216333</v>
      </c>
    </row>
    <row r="138" spans="1:8" x14ac:dyDescent="0.55000000000000004">
      <c r="A138" s="10">
        <v>412</v>
      </c>
      <c r="B138" s="10">
        <v>226801</v>
      </c>
      <c r="C138" s="10">
        <v>127070</v>
      </c>
      <c r="D138" s="10">
        <v>-4818</v>
      </c>
      <c r="E138" s="10">
        <v>131888</v>
      </c>
      <c r="F138" s="10">
        <v>26360</v>
      </c>
      <c r="G138" s="10">
        <v>-790</v>
      </c>
      <c r="H138" s="10">
        <v>25570</v>
      </c>
    </row>
    <row r="139" spans="1:8" x14ac:dyDescent="0.55000000000000004">
      <c r="A139" s="10">
        <v>421</v>
      </c>
      <c r="B139" s="10">
        <v>484090</v>
      </c>
      <c r="C139" s="10">
        <v>168381</v>
      </c>
      <c r="D139" s="10">
        <v>0</v>
      </c>
      <c r="E139" s="10">
        <v>168381</v>
      </c>
      <c r="F139" s="10">
        <v>91246</v>
      </c>
      <c r="G139" s="10">
        <v>0</v>
      </c>
      <c r="H139" s="10">
        <v>91246</v>
      </c>
    </row>
    <row r="140" spans="1:8" x14ac:dyDescent="0.55000000000000004">
      <c r="A140" s="10">
        <v>236</v>
      </c>
      <c r="B140" s="10">
        <v>1150992</v>
      </c>
      <c r="C140" s="10">
        <v>494062</v>
      </c>
      <c r="D140" s="10">
        <v>-1898</v>
      </c>
      <c r="E140" s="10">
        <v>495960</v>
      </c>
      <c r="F140" s="10">
        <v>218991</v>
      </c>
      <c r="G140" s="10">
        <v>1669</v>
      </c>
      <c r="H140" s="10">
        <v>220660</v>
      </c>
    </row>
    <row r="141" spans="1:8" x14ac:dyDescent="0.55000000000000004">
      <c r="A141" s="10">
        <v>135</v>
      </c>
      <c r="B141" s="10">
        <v>507441</v>
      </c>
      <c r="C141" s="10">
        <v>216265</v>
      </c>
      <c r="D141" s="10">
        <v>0</v>
      </c>
      <c r="E141" s="10">
        <v>216265</v>
      </c>
      <c r="F141" s="10">
        <v>0</v>
      </c>
      <c r="G141" s="10">
        <v>0</v>
      </c>
      <c r="H141" s="10">
        <v>0</v>
      </c>
    </row>
    <row r="142" spans="1:8" x14ac:dyDescent="0.55000000000000004">
      <c r="A142" s="10">
        <v>261</v>
      </c>
      <c r="B142" s="10">
        <v>1190304</v>
      </c>
      <c r="C142" s="10">
        <v>276941</v>
      </c>
      <c r="D142" s="10">
        <v>0</v>
      </c>
      <c r="E142" s="10">
        <v>276941</v>
      </c>
      <c r="F142" s="10">
        <v>232484</v>
      </c>
      <c r="G142" s="10">
        <v>0</v>
      </c>
      <c r="H142" s="10">
        <v>232484</v>
      </c>
    </row>
    <row r="143" spans="1:8" x14ac:dyDescent="0.55000000000000004">
      <c r="A143" s="10">
        <v>937</v>
      </c>
      <c r="B143" s="10">
        <v>446753</v>
      </c>
      <c r="C143" s="10">
        <v>152055</v>
      </c>
      <c r="D143" s="10">
        <v>-1327</v>
      </c>
      <c r="E143" s="10">
        <v>153382</v>
      </c>
      <c r="F143" s="10">
        <v>81537</v>
      </c>
      <c r="G143" s="10">
        <v>-50</v>
      </c>
      <c r="H143" s="10">
        <v>81487</v>
      </c>
    </row>
    <row r="144" spans="1:8" x14ac:dyDescent="0.55000000000000004">
      <c r="A144" s="10">
        <v>636</v>
      </c>
      <c r="B144" s="10">
        <v>328682</v>
      </c>
      <c r="C144" s="10">
        <v>98452</v>
      </c>
      <c r="D144" s="10">
        <v>-260</v>
      </c>
      <c r="E144" s="10">
        <v>98712</v>
      </c>
      <c r="F144" s="10">
        <v>33099</v>
      </c>
      <c r="G144" s="10">
        <v>1003</v>
      </c>
      <c r="H144" s="10">
        <v>34102</v>
      </c>
    </row>
    <row r="145" spans="1:8" x14ac:dyDescent="0.55000000000000004">
      <c r="A145" s="10">
        <v>128</v>
      </c>
      <c r="B145" s="10">
        <v>849888</v>
      </c>
      <c r="C145" s="10">
        <v>264519</v>
      </c>
      <c r="D145" s="10">
        <v>-3117</v>
      </c>
      <c r="E145" s="10">
        <v>267636</v>
      </c>
      <c r="F145" s="10">
        <v>93161</v>
      </c>
      <c r="G145" s="10">
        <v>-942</v>
      </c>
      <c r="H145" s="10">
        <v>92219</v>
      </c>
    </row>
    <row r="146" spans="1:8" x14ac:dyDescent="0.55000000000000004">
      <c r="A146" s="10">
        <v>644</v>
      </c>
      <c r="B146" s="10">
        <v>619655</v>
      </c>
      <c r="C146" s="10">
        <v>161363</v>
      </c>
      <c r="D146" s="10">
        <v>-2720</v>
      </c>
      <c r="E146" s="10">
        <v>164083</v>
      </c>
      <c r="F146" s="10">
        <v>30219</v>
      </c>
      <c r="G146" s="10">
        <v>-2629</v>
      </c>
      <c r="H146" s="10">
        <v>27590</v>
      </c>
    </row>
    <row r="147" spans="1:8" x14ac:dyDescent="0.55000000000000004">
      <c r="A147" s="10">
        <v>776</v>
      </c>
      <c r="B147" s="10">
        <v>430028</v>
      </c>
      <c r="C147" s="10">
        <v>247210</v>
      </c>
      <c r="D147" s="10">
        <v>0</v>
      </c>
      <c r="E147" s="10">
        <v>247210</v>
      </c>
      <c r="F147" s="10">
        <v>96188</v>
      </c>
      <c r="G147" s="10">
        <v>0</v>
      </c>
      <c r="H147" s="10">
        <v>96188</v>
      </c>
    </row>
    <row r="148" spans="1:8" x14ac:dyDescent="0.55000000000000004">
      <c r="A148" s="10">
        <v>291</v>
      </c>
      <c r="B148" s="10">
        <v>3697037</v>
      </c>
      <c r="C148" s="10">
        <v>894920</v>
      </c>
      <c r="D148" s="10">
        <v>0</v>
      </c>
      <c r="E148" s="10">
        <v>894920</v>
      </c>
      <c r="F148" s="10">
        <v>301064</v>
      </c>
      <c r="G148" s="10">
        <v>0</v>
      </c>
      <c r="H148" s="10">
        <v>301064</v>
      </c>
    </row>
    <row r="149" spans="1:8" x14ac:dyDescent="0.55000000000000004">
      <c r="A149" s="10">
        <v>928</v>
      </c>
      <c r="B149" s="10">
        <v>899294</v>
      </c>
      <c r="C149" s="10">
        <v>112394</v>
      </c>
      <c r="D149" s="10">
        <v>487</v>
      </c>
      <c r="E149" s="10">
        <v>111907</v>
      </c>
      <c r="F149" s="10">
        <v>48056</v>
      </c>
      <c r="G149" s="10">
        <v>-6624</v>
      </c>
      <c r="H149" s="10">
        <v>41432</v>
      </c>
    </row>
    <row r="150" spans="1:8" x14ac:dyDescent="0.55000000000000004">
      <c r="A150" s="10">
        <v>766</v>
      </c>
      <c r="B150" s="10">
        <v>636708</v>
      </c>
      <c r="C150" s="10">
        <v>295480.49976678449</v>
      </c>
      <c r="D150" s="10">
        <v>0</v>
      </c>
      <c r="E150" s="10">
        <v>295480.49976678449</v>
      </c>
      <c r="F150" s="10">
        <v>135847.09572217561</v>
      </c>
      <c r="G150" s="10">
        <v>0</v>
      </c>
      <c r="H150" s="10">
        <v>135847.09572217561</v>
      </c>
    </row>
    <row r="151" spans="1:8" x14ac:dyDescent="0.55000000000000004">
      <c r="A151" s="10">
        <v>684</v>
      </c>
      <c r="B151" s="10">
        <v>492264</v>
      </c>
      <c r="C151" s="10">
        <v>210845</v>
      </c>
      <c r="D151" s="10">
        <v>1962</v>
      </c>
      <c r="E151" s="10">
        <v>208883</v>
      </c>
      <c r="F151" s="10">
        <v>38972</v>
      </c>
      <c r="G151" s="10">
        <v>1036</v>
      </c>
      <c r="H151" s="10">
        <v>40008</v>
      </c>
    </row>
    <row r="152" spans="1:8" x14ac:dyDescent="0.55000000000000004">
      <c r="A152" s="10">
        <v>474</v>
      </c>
      <c r="B152" s="10">
        <v>279402</v>
      </c>
      <c r="C152" s="10">
        <v>138770</v>
      </c>
      <c r="D152" s="10">
        <v>1269</v>
      </c>
      <c r="E152" s="10">
        <v>137501</v>
      </c>
      <c r="F152" s="10">
        <v>24321</v>
      </c>
      <c r="G152" s="10">
        <v>-472</v>
      </c>
      <c r="H152" s="10">
        <v>23849</v>
      </c>
    </row>
    <row r="153" spans="1:8" x14ac:dyDescent="0.55000000000000004">
      <c r="A153" s="10">
        <v>648</v>
      </c>
      <c r="B153" s="10">
        <v>977383</v>
      </c>
      <c r="C153" s="10">
        <v>222100</v>
      </c>
      <c r="D153" s="10">
        <v>-53</v>
      </c>
      <c r="E153" s="10">
        <v>222153</v>
      </c>
      <c r="F153" s="10">
        <v>60559</v>
      </c>
      <c r="G153" s="10">
        <v>2666</v>
      </c>
      <c r="H153" s="10">
        <v>63225</v>
      </c>
    </row>
    <row r="154" spans="1:8" x14ac:dyDescent="0.55000000000000004">
      <c r="A154" s="10">
        <v>121</v>
      </c>
      <c r="B154" s="10">
        <v>640338</v>
      </c>
      <c r="C154" s="10">
        <v>381520</v>
      </c>
      <c r="D154" s="10">
        <v>11302</v>
      </c>
      <c r="E154" s="10">
        <v>370218</v>
      </c>
      <c r="F154" s="10">
        <v>114821</v>
      </c>
      <c r="G154" s="10">
        <v>-813</v>
      </c>
      <c r="H154" s="10">
        <v>114008</v>
      </c>
    </row>
    <row r="155" spans="1:8" x14ac:dyDescent="0.55000000000000004">
      <c r="A155" s="10">
        <v>657</v>
      </c>
      <c r="B155" s="10">
        <v>1031665</v>
      </c>
      <c r="C155" s="10">
        <v>1192123.4323976815</v>
      </c>
      <c r="D155" s="10">
        <v>0</v>
      </c>
      <c r="E155" s="10">
        <v>1192123.4323976815</v>
      </c>
      <c r="F155" s="10">
        <v>194732.41653166738</v>
      </c>
      <c r="G155" s="10">
        <v>0</v>
      </c>
      <c r="H155" s="10">
        <v>194732.41653166738</v>
      </c>
    </row>
    <row r="156" spans="1:8" x14ac:dyDescent="0.55000000000000004">
      <c r="A156" s="10">
        <v>709</v>
      </c>
      <c r="B156" s="10">
        <v>368064</v>
      </c>
      <c r="C156" s="10">
        <v>218830</v>
      </c>
      <c r="D156" s="10">
        <v>-568</v>
      </c>
      <c r="E156" s="10">
        <v>219398</v>
      </c>
      <c r="F156" s="10">
        <v>25374</v>
      </c>
      <c r="G156" s="10">
        <v>840</v>
      </c>
      <c r="H156" s="10">
        <v>26214</v>
      </c>
    </row>
    <row r="157" spans="1:8" x14ac:dyDescent="0.55000000000000004">
      <c r="A157" s="10">
        <v>572</v>
      </c>
      <c r="B157" s="10">
        <v>1079458</v>
      </c>
      <c r="C157" s="10">
        <v>354220</v>
      </c>
      <c r="D157" s="10">
        <v>-22414</v>
      </c>
      <c r="E157" s="10">
        <v>376634</v>
      </c>
      <c r="F157" s="10">
        <v>107224</v>
      </c>
      <c r="G157" s="10">
        <v>-6892</v>
      </c>
      <c r="H157" s="10">
        <v>100332</v>
      </c>
    </row>
    <row r="158" spans="1:8" x14ac:dyDescent="0.55000000000000004">
      <c r="A158" s="10">
        <v>602</v>
      </c>
      <c r="B158" s="10">
        <v>671326</v>
      </c>
      <c r="C158" s="10">
        <v>120089</v>
      </c>
      <c r="D158" s="10">
        <v>1383</v>
      </c>
      <c r="E158" s="10">
        <v>118706</v>
      </c>
      <c r="F158" s="10">
        <v>166717</v>
      </c>
      <c r="G158" s="10">
        <v>-6144</v>
      </c>
      <c r="H158" s="10">
        <v>160573</v>
      </c>
    </row>
    <row r="159" spans="1:8" x14ac:dyDescent="0.55000000000000004">
      <c r="A159" s="10">
        <v>326</v>
      </c>
      <c r="B159" s="10">
        <v>1535350</v>
      </c>
      <c r="C159" s="10">
        <v>301760</v>
      </c>
      <c r="D159" s="10">
        <v>-8279</v>
      </c>
      <c r="E159" s="10">
        <v>310039</v>
      </c>
      <c r="F159" s="10">
        <v>164800</v>
      </c>
      <c r="G159" s="10">
        <v>-904</v>
      </c>
      <c r="H159" s="10">
        <v>163896</v>
      </c>
    </row>
    <row r="160" spans="1:8" x14ac:dyDescent="0.55000000000000004">
      <c r="A160" s="10">
        <v>346</v>
      </c>
      <c r="B160" s="10">
        <v>372126</v>
      </c>
      <c r="C160" s="10">
        <v>150837</v>
      </c>
      <c r="D160" s="10">
        <v>0</v>
      </c>
      <c r="E160" s="10">
        <v>150837</v>
      </c>
      <c r="F160" s="10">
        <v>47523</v>
      </c>
      <c r="G160" s="10">
        <v>0</v>
      </c>
      <c r="H160" s="10">
        <v>47523</v>
      </c>
    </row>
    <row r="161" spans="1:8" x14ac:dyDescent="0.55000000000000004">
      <c r="A161" s="10">
        <v>381</v>
      </c>
      <c r="B161" s="10">
        <v>1164121</v>
      </c>
      <c r="C161" s="10">
        <v>349890</v>
      </c>
      <c r="D161" s="10">
        <v>0</v>
      </c>
      <c r="E161" s="10">
        <v>349890</v>
      </c>
      <c r="F161" s="10">
        <v>174137</v>
      </c>
      <c r="G161" s="10">
        <v>0</v>
      </c>
      <c r="H161" s="10">
        <v>174137</v>
      </c>
    </row>
    <row r="162" spans="1:8" x14ac:dyDescent="0.55000000000000004">
      <c r="A162" s="10">
        <v>989</v>
      </c>
      <c r="B162" s="10">
        <v>618153</v>
      </c>
      <c r="C162" s="10">
        <v>185179</v>
      </c>
      <c r="D162" s="10">
        <v>0</v>
      </c>
      <c r="E162" s="10">
        <v>185179</v>
      </c>
      <c r="F162" s="10">
        <v>141445</v>
      </c>
      <c r="G162" s="10">
        <v>0</v>
      </c>
      <c r="H162" s="10">
        <v>141445</v>
      </c>
    </row>
    <row r="163" spans="1:8" x14ac:dyDescent="0.55000000000000004">
      <c r="A163" s="10">
        <v>322</v>
      </c>
      <c r="B163" s="10">
        <v>1246493</v>
      </c>
      <c r="C163" s="10">
        <v>420150</v>
      </c>
      <c r="D163" s="10">
        <v>0</v>
      </c>
      <c r="E163" s="10">
        <v>420150</v>
      </c>
      <c r="F163" s="10">
        <v>116330</v>
      </c>
      <c r="G163" s="10">
        <v>0</v>
      </c>
      <c r="H163" s="10">
        <v>116330</v>
      </c>
    </row>
    <row r="164" spans="1:8" x14ac:dyDescent="0.55000000000000004">
      <c r="A164" s="10">
        <v>738</v>
      </c>
      <c r="B164" s="10">
        <v>538287</v>
      </c>
      <c r="C164" s="10">
        <v>170472</v>
      </c>
      <c r="D164" s="10">
        <v>0</v>
      </c>
      <c r="E164" s="10">
        <v>170472</v>
      </c>
      <c r="F164" s="10">
        <v>74362</v>
      </c>
      <c r="G164" s="10">
        <v>0</v>
      </c>
      <c r="H164" s="10">
        <v>74362</v>
      </c>
    </row>
    <row r="165" spans="1:8" x14ac:dyDescent="0.55000000000000004">
      <c r="A165" s="10">
        <v>965</v>
      </c>
      <c r="B165" s="10">
        <v>381206</v>
      </c>
      <c r="C165" s="10">
        <v>195903</v>
      </c>
      <c r="D165" s="10">
        <v>-3213</v>
      </c>
      <c r="E165" s="10">
        <v>199116</v>
      </c>
      <c r="F165" s="10">
        <v>87985</v>
      </c>
      <c r="G165" s="10">
        <v>2115</v>
      </c>
      <c r="H165" s="10">
        <v>90100</v>
      </c>
    </row>
    <row r="166" spans="1:8" x14ac:dyDescent="0.55000000000000004">
      <c r="A166" s="10">
        <v>564</v>
      </c>
      <c r="B166" s="10">
        <v>1200815</v>
      </c>
      <c r="C166" s="10">
        <v>462435</v>
      </c>
      <c r="D166" s="10">
        <v>0</v>
      </c>
      <c r="E166" s="10">
        <v>462435</v>
      </c>
      <c r="F166" s="10">
        <v>287833</v>
      </c>
      <c r="G166" s="10">
        <v>0</v>
      </c>
      <c r="H166" s="10">
        <v>287833</v>
      </c>
    </row>
    <row r="167" spans="1:8" x14ac:dyDescent="0.55000000000000004">
      <c r="A167" s="10">
        <v>773</v>
      </c>
      <c r="B167" s="10">
        <v>953346</v>
      </c>
      <c r="C167" s="10">
        <v>202030</v>
      </c>
      <c r="D167" s="10">
        <v>0</v>
      </c>
      <c r="E167" s="10">
        <v>202030</v>
      </c>
      <c r="F167" s="10">
        <v>55051</v>
      </c>
      <c r="G167" s="10">
        <v>0</v>
      </c>
      <c r="H167" s="10">
        <v>55051</v>
      </c>
    </row>
    <row r="168" spans="1:8" x14ac:dyDescent="0.55000000000000004">
      <c r="A168" s="10">
        <v>205</v>
      </c>
      <c r="B168" s="10">
        <v>735495</v>
      </c>
      <c r="C168" s="10">
        <v>328841</v>
      </c>
      <c r="D168" s="10">
        <v>0</v>
      </c>
      <c r="E168" s="10">
        <v>328841</v>
      </c>
      <c r="F168" s="10">
        <v>156441</v>
      </c>
      <c r="G168" s="10">
        <v>0</v>
      </c>
      <c r="H168" s="10">
        <v>156441</v>
      </c>
    </row>
    <row r="169" spans="1:8" x14ac:dyDescent="0.55000000000000004">
      <c r="A169" s="10">
        <v>231</v>
      </c>
      <c r="B169" s="10">
        <v>642244</v>
      </c>
      <c r="C169" s="10">
        <v>181099</v>
      </c>
      <c r="D169" s="10">
        <v>0</v>
      </c>
      <c r="E169" s="10">
        <v>181099</v>
      </c>
      <c r="F169" s="10">
        <v>0</v>
      </c>
      <c r="G169" s="10">
        <v>0</v>
      </c>
      <c r="H169" s="10">
        <v>0</v>
      </c>
    </row>
    <row r="170" spans="1:8" x14ac:dyDescent="0.55000000000000004">
      <c r="A170" s="10">
        <v>801</v>
      </c>
      <c r="B170" s="10">
        <v>230265</v>
      </c>
      <c r="C170" s="10">
        <v>133447</v>
      </c>
      <c r="D170" s="10">
        <v>-567</v>
      </c>
      <c r="E170" s="10">
        <v>134014</v>
      </c>
      <c r="F170" s="10">
        <v>41903</v>
      </c>
      <c r="G170" s="10">
        <v>-752</v>
      </c>
      <c r="H170" s="10">
        <v>41151</v>
      </c>
    </row>
    <row r="171" spans="1:8" x14ac:dyDescent="0.55000000000000004">
      <c r="A171" s="10">
        <v>203</v>
      </c>
      <c r="B171" s="10">
        <v>1239695</v>
      </c>
      <c r="C171" s="10">
        <v>293193</v>
      </c>
      <c r="D171" s="10">
        <v>-5161</v>
      </c>
      <c r="E171" s="10">
        <v>298354</v>
      </c>
      <c r="F171" s="10">
        <v>24118</v>
      </c>
      <c r="G171" s="10">
        <v>1021</v>
      </c>
      <c r="H171" s="10">
        <v>25139</v>
      </c>
    </row>
    <row r="172" spans="1:8" x14ac:dyDescent="0.55000000000000004">
      <c r="A172" s="10">
        <v>615</v>
      </c>
      <c r="B172" s="10">
        <v>686925</v>
      </c>
      <c r="C172" s="10">
        <v>292718</v>
      </c>
      <c r="D172" s="10">
        <v>7165</v>
      </c>
      <c r="E172" s="10">
        <v>285553</v>
      </c>
      <c r="F172" s="10">
        <v>131230</v>
      </c>
      <c r="G172" s="10">
        <v>-2709</v>
      </c>
      <c r="H172" s="10">
        <v>128521</v>
      </c>
    </row>
    <row r="173" spans="1:8" x14ac:dyDescent="0.55000000000000004">
      <c r="A173" s="10">
        <v>357</v>
      </c>
      <c r="B173" s="10">
        <v>474042</v>
      </c>
      <c r="C173" s="10">
        <v>262770</v>
      </c>
      <c r="D173" s="10">
        <v>-1802</v>
      </c>
      <c r="E173" s="10">
        <v>264572</v>
      </c>
      <c r="F173" s="10">
        <v>110946</v>
      </c>
      <c r="G173" s="10">
        <v>-1908</v>
      </c>
      <c r="H173" s="10">
        <v>109038</v>
      </c>
    </row>
    <row r="174" spans="1:8" x14ac:dyDescent="0.55000000000000004">
      <c r="A174" s="10">
        <v>206</v>
      </c>
      <c r="B174" s="10">
        <v>879406</v>
      </c>
      <c r="C174" s="10">
        <v>331996</v>
      </c>
      <c r="D174" s="10">
        <v>-7695</v>
      </c>
      <c r="E174" s="10">
        <v>339691</v>
      </c>
      <c r="F174" s="10">
        <v>154089</v>
      </c>
      <c r="G174" s="10">
        <v>-1483</v>
      </c>
      <c r="H174" s="10">
        <v>152606</v>
      </c>
    </row>
    <row r="175" spans="1:8" x14ac:dyDescent="0.55000000000000004">
      <c r="A175" s="10">
        <v>268</v>
      </c>
      <c r="B175" s="10">
        <v>853538</v>
      </c>
      <c r="C175" s="10">
        <v>530321</v>
      </c>
      <c r="D175" s="10">
        <v>-1808</v>
      </c>
      <c r="E175" s="10">
        <v>532129</v>
      </c>
      <c r="F175" s="10">
        <v>157785</v>
      </c>
      <c r="G175" s="10">
        <v>-6824</v>
      </c>
      <c r="H175" s="10">
        <v>150961</v>
      </c>
    </row>
    <row r="176" spans="1:8" x14ac:dyDescent="0.55000000000000004">
      <c r="A176" s="10">
        <v>835</v>
      </c>
      <c r="B176" s="10">
        <v>570540</v>
      </c>
      <c r="C176" s="10">
        <v>214489</v>
      </c>
      <c r="D176" s="10">
        <v>6049</v>
      </c>
      <c r="E176" s="10">
        <v>208440</v>
      </c>
      <c r="F176" s="10">
        <v>126226</v>
      </c>
      <c r="G176" s="10">
        <v>489</v>
      </c>
      <c r="H176" s="10">
        <v>126715</v>
      </c>
    </row>
    <row r="177" spans="1:8" x14ac:dyDescent="0.55000000000000004">
      <c r="A177" s="10">
        <v>503</v>
      </c>
      <c r="B177" s="10">
        <v>817349</v>
      </c>
      <c r="C177" s="10">
        <v>206961</v>
      </c>
      <c r="D177" s="10">
        <v>819</v>
      </c>
      <c r="E177" s="10">
        <v>206142</v>
      </c>
      <c r="F177" s="10">
        <v>95841</v>
      </c>
      <c r="G177" s="10">
        <v>-2924</v>
      </c>
      <c r="H177" s="10">
        <v>92917</v>
      </c>
    </row>
    <row r="178" spans="1:8" x14ac:dyDescent="0.55000000000000004">
      <c r="A178" s="10">
        <v>423</v>
      </c>
      <c r="B178" s="10">
        <v>841170</v>
      </c>
      <c r="C178" s="10">
        <v>197693</v>
      </c>
      <c r="D178" s="10">
        <v>3148</v>
      </c>
      <c r="E178" s="10">
        <v>194545</v>
      </c>
      <c r="F178" s="10">
        <v>127991</v>
      </c>
      <c r="G178" s="10">
        <v>-553</v>
      </c>
      <c r="H178" s="10">
        <v>127438</v>
      </c>
    </row>
    <row r="179" spans="1:8" x14ac:dyDescent="0.55000000000000004">
      <c r="A179" s="10">
        <v>313</v>
      </c>
      <c r="B179" s="10">
        <v>677078</v>
      </c>
      <c r="C179" s="10">
        <v>262594</v>
      </c>
      <c r="D179" s="10">
        <v>3362</v>
      </c>
      <c r="E179" s="10">
        <v>259232</v>
      </c>
      <c r="F179" s="10">
        <v>100770</v>
      </c>
      <c r="G179" s="10">
        <v>120</v>
      </c>
      <c r="H179" s="10">
        <v>100890</v>
      </c>
    </row>
    <row r="180" spans="1:8" x14ac:dyDescent="0.55000000000000004">
      <c r="A180" s="10">
        <v>377</v>
      </c>
      <c r="B180" s="10">
        <v>323050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</row>
    <row r="181" spans="1:8" x14ac:dyDescent="0.55000000000000004">
      <c r="A181" s="10">
        <v>960</v>
      </c>
      <c r="B181" s="10">
        <v>465805</v>
      </c>
      <c r="C181" s="10">
        <v>173348</v>
      </c>
      <c r="D181" s="10">
        <v>-576</v>
      </c>
      <c r="E181" s="10">
        <v>173924</v>
      </c>
      <c r="F181" s="10">
        <v>57914</v>
      </c>
      <c r="G181" s="10">
        <v>-5330</v>
      </c>
      <c r="H181" s="10">
        <v>52584</v>
      </c>
    </row>
    <row r="182" spans="1:8" x14ac:dyDescent="0.55000000000000004">
      <c r="A182" s="10">
        <v>528</v>
      </c>
      <c r="B182" s="10">
        <v>372834</v>
      </c>
      <c r="C182" s="10">
        <v>174197</v>
      </c>
      <c r="D182" s="10">
        <v>-243</v>
      </c>
      <c r="E182" s="10">
        <v>174440</v>
      </c>
      <c r="F182" s="10">
        <v>95063</v>
      </c>
      <c r="G182" s="10">
        <v>0</v>
      </c>
      <c r="H182" s="10">
        <v>95063</v>
      </c>
    </row>
    <row r="183" spans="1:8" x14ac:dyDescent="0.55000000000000004">
      <c r="A183" s="10">
        <v>478</v>
      </c>
      <c r="B183" s="10">
        <v>2205953</v>
      </c>
      <c r="C183" s="10">
        <v>746834</v>
      </c>
      <c r="D183" s="10">
        <v>4260</v>
      </c>
      <c r="E183" s="10">
        <v>742574</v>
      </c>
      <c r="F183" s="10">
        <v>223869</v>
      </c>
      <c r="G183" s="10">
        <v>-6678</v>
      </c>
      <c r="H183" s="10">
        <v>217191</v>
      </c>
    </row>
    <row r="184" spans="1:8" x14ac:dyDescent="0.55000000000000004">
      <c r="A184" s="10">
        <v>938</v>
      </c>
      <c r="B184" s="10">
        <v>250925</v>
      </c>
      <c r="C184" s="10">
        <v>204885.55245878978</v>
      </c>
      <c r="D184" s="10">
        <v>0</v>
      </c>
      <c r="E184" s="10">
        <v>204885.55245878978</v>
      </c>
      <c r="F184" s="10">
        <v>73666.192704142974</v>
      </c>
      <c r="G184" s="10">
        <v>0</v>
      </c>
      <c r="H184" s="10">
        <v>73666.192704142974</v>
      </c>
    </row>
    <row r="185" spans="1:8" x14ac:dyDescent="0.55000000000000004">
      <c r="A185" s="10">
        <v>828</v>
      </c>
      <c r="B185" s="10">
        <v>379219</v>
      </c>
      <c r="C185" s="10">
        <v>210983.95375545687</v>
      </c>
      <c r="D185" s="10">
        <v>0</v>
      </c>
      <c r="E185" s="10">
        <v>210983.95375545687</v>
      </c>
      <c r="F185" s="10">
        <v>132494.19202005159</v>
      </c>
      <c r="G185" s="10">
        <v>0</v>
      </c>
      <c r="H185" s="10">
        <v>132494.19202005159</v>
      </c>
    </row>
    <row r="186" spans="1:8" x14ac:dyDescent="0.55000000000000004">
      <c r="A186" s="10">
        <v>726</v>
      </c>
      <c r="B186" s="10">
        <v>994631</v>
      </c>
      <c r="C186" s="10">
        <v>317438</v>
      </c>
      <c r="D186" s="10">
        <v>0</v>
      </c>
      <c r="E186" s="10">
        <v>317438</v>
      </c>
      <c r="F186" s="10">
        <v>101388</v>
      </c>
      <c r="G186" s="10">
        <v>0</v>
      </c>
      <c r="H186" s="10">
        <v>101388</v>
      </c>
    </row>
    <row r="187" spans="1:8" x14ac:dyDescent="0.55000000000000004">
      <c r="A187" s="10">
        <v>178</v>
      </c>
      <c r="B187" s="10">
        <v>1747821</v>
      </c>
      <c r="C187" s="10">
        <v>538999</v>
      </c>
      <c r="D187" s="10">
        <v>-2857</v>
      </c>
      <c r="E187" s="10">
        <v>541856</v>
      </c>
      <c r="F187" s="10">
        <v>151718</v>
      </c>
      <c r="G187" s="10">
        <v>-2979</v>
      </c>
      <c r="H187" s="10">
        <v>148739</v>
      </c>
    </row>
    <row r="188" spans="1:8" x14ac:dyDescent="0.55000000000000004">
      <c r="A188" s="10">
        <v>543</v>
      </c>
      <c r="B188" s="10">
        <v>791500</v>
      </c>
      <c r="C188" s="10">
        <v>239166</v>
      </c>
      <c r="D188" s="10">
        <v>-8</v>
      </c>
      <c r="E188" s="10">
        <v>239174</v>
      </c>
      <c r="F188" s="10">
        <v>42486</v>
      </c>
      <c r="G188" s="10">
        <v>562</v>
      </c>
      <c r="H188" s="10">
        <v>43048</v>
      </c>
    </row>
    <row r="189" spans="1:8" x14ac:dyDescent="0.55000000000000004">
      <c r="A189" s="10">
        <v>462</v>
      </c>
      <c r="B189" s="10">
        <v>452432</v>
      </c>
      <c r="C189" s="10">
        <v>186517</v>
      </c>
      <c r="D189" s="10">
        <v>2884</v>
      </c>
      <c r="E189" s="10">
        <v>183633</v>
      </c>
      <c r="F189" s="10">
        <v>22262</v>
      </c>
      <c r="G189" s="10">
        <v>384</v>
      </c>
      <c r="H189" s="10">
        <v>22646</v>
      </c>
    </row>
    <row r="190" spans="1:8" x14ac:dyDescent="0.55000000000000004">
      <c r="A190" s="10">
        <v>589</v>
      </c>
      <c r="B190" s="10">
        <v>803232</v>
      </c>
      <c r="C190" s="10">
        <v>194545</v>
      </c>
      <c r="D190" s="10">
        <v>0</v>
      </c>
      <c r="E190" s="10">
        <v>194545</v>
      </c>
      <c r="F190" s="10">
        <v>95807</v>
      </c>
      <c r="G190" s="10">
        <v>0</v>
      </c>
      <c r="H190" s="10">
        <v>95807</v>
      </c>
    </row>
    <row r="191" spans="1:8" x14ac:dyDescent="0.55000000000000004">
      <c r="A191" s="10">
        <v>293</v>
      </c>
      <c r="B191" s="10">
        <v>3950910</v>
      </c>
      <c r="C191" s="10">
        <v>812637</v>
      </c>
      <c r="D191" s="10">
        <v>0</v>
      </c>
      <c r="E191" s="10">
        <v>812637</v>
      </c>
      <c r="F191" s="10">
        <v>407339</v>
      </c>
      <c r="G191" s="10">
        <v>0</v>
      </c>
      <c r="H191" s="10">
        <v>407339</v>
      </c>
    </row>
    <row r="192" spans="1:8" x14ac:dyDescent="0.55000000000000004">
      <c r="A192" s="10">
        <v>597</v>
      </c>
      <c r="B192" s="10">
        <v>781183</v>
      </c>
      <c r="C192" s="10">
        <v>0</v>
      </c>
      <c r="D192" s="10">
        <v>0</v>
      </c>
      <c r="E192" s="10">
        <v>0</v>
      </c>
      <c r="F192" s="10">
        <v>62597</v>
      </c>
      <c r="G192" s="10">
        <v>0</v>
      </c>
      <c r="H192" s="10">
        <v>62597</v>
      </c>
    </row>
    <row r="193" spans="1:8" x14ac:dyDescent="0.55000000000000004">
      <c r="A193" s="10">
        <v>510</v>
      </c>
      <c r="B193" s="10">
        <v>1940533</v>
      </c>
      <c r="C193" s="10">
        <v>606879</v>
      </c>
      <c r="D193" s="10">
        <v>0</v>
      </c>
      <c r="E193" s="10">
        <v>606879</v>
      </c>
      <c r="F193" s="10">
        <v>43523</v>
      </c>
      <c r="G193" s="10">
        <v>0</v>
      </c>
      <c r="H193" s="10">
        <v>43523</v>
      </c>
    </row>
    <row r="194" spans="1:8" x14ac:dyDescent="0.55000000000000004">
      <c r="A194" s="10">
        <v>740</v>
      </c>
      <c r="B194" s="10">
        <v>535250</v>
      </c>
      <c r="C194" s="10">
        <v>350981.99813997839</v>
      </c>
      <c r="D194" s="10">
        <v>0</v>
      </c>
      <c r="E194" s="10">
        <v>350981.99813997839</v>
      </c>
      <c r="F194" s="10">
        <v>178277.92</v>
      </c>
      <c r="G194" s="10">
        <v>0</v>
      </c>
      <c r="H194" s="10">
        <v>178277.92</v>
      </c>
    </row>
    <row r="195" spans="1:8" x14ac:dyDescent="0.55000000000000004">
      <c r="A195" s="10">
        <v>278</v>
      </c>
      <c r="B195" s="10">
        <v>594253</v>
      </c>
      <c r="C195" s="10">
        <v>127255</v>
      </c>
      <c r="D195" s="10">
        <v>0</v>
      </c>
      <c r="E195" s="10">
        <v>127255</v>
      </c>
      <c r="F195" s="10">
        <v>43272</v>
      </c>
      <c r="G195" s="10">
        <v>0</v>
      </c>
      <c r="H195" s="10">
        <v>43272</v>
      </c>
    </row>
    <row r="196" spans="1:8" x14ac:dyDescent="0.55000000000000004">
      <c r="A196" s="10">
        <v>772</v>
      </c>
      <c r="B196" s="10">
        <v>580229</v>
      </c>
      <c r="C196" s="10">
        <v>150946</v>
      </c>
      <c r="D196" s="10">
        <v>6261</v>
      </c>
      <c r="E196" s="10">
        <v>144685</v>
      </c>
      <c r="F196" s="10">
        <v>176701</v>
      </c>
      <c r="G196" s="10">
        <v>-392</v>
      </c>
      <c r="H196" s="10">
        <v>176309</v>
      </c>
    </row>
    <row r="197" spans="1:8" x14ac:dyDescent="0.55000000000000004">
      <c r="A197" s="10">
        <v>826</v>
      </c>
      <c r="B197" s="10">
        <v>681002</v>
      </c>
      <c r="C197" s="10">
        <v>248141</v>
      </c>
      <c r="D197" s="10">
        <v>-814</v>
      </c>
      <c r="E197" s="10">
        <v>248955</v>
      </c>
      <c r="F197" s="10">
        <v>114143</v>
      </c>
      <c r="G197" s="10">
        <v>-866</v>
      </c>
      <c r="H197" s="10">
        <v>113277</v>
      </c>
    </row>
    <row r="198" spans="1:8" x14ac:dyDescent="0.55000000000000004">
      <c r="A198" s="10">
        <v>146</v>
      </c>
      <c r="B198" s="10">
        <v>596048</v>
      </c>
      <c r="C198" s="10">
        <v>357925</v>
      </c>
      <c r="D198" s="10">
        <v>-1134</v>
      </c>
      <c r="E198" s="10">
        <v>359059</v>
      </c>
      <c r="F198" s="10">
        <v>147442</v>
      </c>
      <c r="G198" s="10">
        <v>2832</v>
      </c>
      <c r="H198" s="10">
        <v>150274</v>
      </c>
    </row>
    <row r="199" spans="1:8" x14ac:dyDescent="0.55000000000000004">
      <c r="A199" s="10">
        <v>174</v>
      </c>
      <c r="B199" s="10">
        <v>874199</v>
      </c>
      <c r="C199" s="10">
        <v>302098.90638648177</v>
      </c>
      <c r="D199" s="10">
        <v>0</v>
      </c>
      <c r="E199" s="10">
        <v>302098.90638648177</v>
      </c>
      <c r="F199" s="10">
        <v>129805.73323650405</v>
      </c>
      <c r="G199" s="10">
        <v>0</v>
      </c>
      <c r="H199" s="10">
        <v>129805.73323650405</v>
      </c>
    </row>
    <row r="200" spans="1:8" x14ac:dyDescent="0.55000000000000004">
      <c r="A200" s="10">
        <v>901</v>
      </c>
      <c r="B200" s="10">
        <v>634099</v>
      </c>
      <c r="C200" s="10">
        <v>128600</v>
      </c>
      <c r="D200" s="10">
        <v>0</v>
      </c>
      <c r="E200" s="10">
        <v>128600</v>
      </c>
      <c r="F200" s="10">
        <v>30670</v>
      </c>
      <c r="G200" s="10">
        <v>0</v>
      </c>
      <c r="H200" s="10">
        <v>30670</v>
      </c>
    </row>
    <row r="201" spans="1:8" x14ac:dyDescent="0.55000000000000004">
      <c r="A201" s="10">
        <v>277</v>
      </c>
      <c r="B201" s="10">
        <v>617387</v>
      </c>
      <c r="C201" s="10">
        <v>243682.09577869132</v>
      </c>
      <c r="D201" s="10">
        <v>0</v>
      </c>
      <c r="E201" s="10">
        <v>243682.09577869132</v>
      </c>
      <c r="F201" s="10">
        <v>70726.649631801643</v>
      </c>
      <c r="G201" s="10">
        <v>0</v>
      </c>
      <c r="H201" s="10">
        <v>70726.649631801643</v>
      </c>
    </row>
    <row r="202" spans="1:8" x14ac:dyDescent="0.55000000000000004">
      <c r="A202" s="10">
        <v>959</v>
      </c>
      <c r="B202" s="10">
        <v>749999</v>
      </c>
      <c r="C202" s="10">
        <v>267080.60772261734</v>
      </c>
      <c r="D202" s="10">
        <v>0</v>
      </c>
      <c r="E202" s="10">
        <v>267080.60772261734</v>
      </c>
      <c r="F202" s="10">
        <v>96049.024930891392</v>
      </c>
      <c r="G202" s="10">
        <v>0</v>
      </c>
      <c r="H202" s="10">
        <v>96049.024930891392</v>
      </c>
    </row>
    <row r="203" spans="1:8" x14ac:dyDescent="0.55000000000000004">
      <c r="A203" s="10">
        <v>422</v>
      </c>
      <c r="B203" s="10">
        <v>400066</v>
      </c>
      <c r="C203" s="10">
        <v>217268</v>
      </c>
      <c r="D203" s="10">
        <v>17378</v>
      </c>
      <c r="E203" s="10">
        <v>199890</v>
      </c>
      <c r="F203" s="10">
        <v>29688</v>
      </c>
      <c r="G203" s="10">
        <v>3052</v>
      </c>
      <c r="H203" s="10">
        <v>32740</v>
      </c>
    </row>
    <row r="204" spans="1:8" x14ac:dyDescent="0.55000000000000004">
      <c r="A204" s="10">
        <v>431</v>
      </c>
      <c r="B204" s="10">
        <v>753482</v>
      </c>
      <c r="C204" s="10">
        <v>281435.17326766171</v>
      </c>
      <c r="D204" s="10">
        <v>0</v>
      </c>
      <c r="E204" s="10">
        <v>281435.17326766171</v>
      </c>
      <c r="F204" s="10">
        <v>179390.43987588538</v>
      </c>
      <c r="G204" s="10">
        <v>0</v>
      </c>
      <c r="H204" s="10">
        <v>179390.43987588538</v>
      </c>
    </row>
    <row r="205" spans="1:8" x14ac:dyDescent="0.55000000000000004">
      <c r="A205" s="10">
        <v>886</v>
      </c>
      <c r="B205" s="10">
        <v>730178</v>
      </c>
      <c r="C205" s="10">
        <v>187179.45758923149</v>
      </c>
      <c r="D205" s="10">
        <v>0</v>
      </c>
      <c r="E205" s="10">
        <v>187179.45758923149</v>
      </c>
      <c r="F205" s="10">
        <v>41888.286944618929</v>
      </c>
      <c r="G205" s="10">
        <v>0</v>
      </c>
      <c r="H205" s="10">
        <v>41888.286944618929</v>
      </c>
    </row>
    <row r="206" spans="1:8" x14ac:dyDescent="0.55000000000000004">
      <c r="A206" s="10">
        <v>233</v>
      </c>
      <c r="B206" s="10">
        <v>556197</v>
      </c>
      <c r="C206" s="10">
        <v>157552</v>
      </c>
      <c r="D206" s="10">
        <v>0</v>
      </c>
      <c r="E206" s="10">
        <v>157552</v>
      </c>
      <c r="F206" s="10">
        <v>80120</v>
      </c>
      <c r="G206" s="10">
        <v>0</v>
      </c>
      <c r="H206" s="10">
        <v>80120</v>
      </c>
    </row>
    <row r="207" spans="1:8" x14ac:dyDescent="0.55000000000000004">
      <c r="A207" s="10">
        <v>555</v>
      </c>
      <c r="B207" s="10">
        <v>662537</v>
      </c>
      <c r="C207" s="10">
        <v>53231</v>
      </c>
      <c r="D207" s="10">
        <v>0</v>
      </c>
      <c r="E207" s="10">
        <v>53231</v>
      </c>
      <c r="F207" s="10">
        <v>137999.47743897373</v>
      </c>
      <c r="G207" s="10">
        <v>0</v>
      </c>
      <c r="H207" s="10">
        <v>137999.47743897373</v>
      </c>
    </row>
    <row r="208" spans="1:8" x14ac:dyDescent="0.55000000000000004">
      <c r="A208" s="10">
        <v>691</v>
      </c>
      <c r="B208" s="10">
        <v>609535</v>
      </c>
      <c r="C208" s="10">
        <v>235455</v>
      </c>
      <c r="D208" s="10">
        <v>0</v>
      </c>
      <c r="E208" s="10">
        <v>235455</v>
      </c>
      <c r="F208" s="10">
        <v>108507</v>
      </c>
      <c r="G208" s="10">
        <v>0</v>
      </c>
      <c r="H208" s="10">
        <v>108507</v>
      </c>
    </row>
    <row r="209" spans="1:8" x14ac:dyDescent="0.55000000000000004">
      <c r="A209" s="10">
        <v>351</v>
      </c>
      <c r="B209" s="10">
        <v>2136081</v>
      </c>
      <c r="C209" s="10">
        <v>687761</v>
      </c>
      <c r="D209" s="10">
        <v>-5931</v>
      </c>
      <c r="E209" s="10">
        <v>693692</v>
      </c>
      <c r="F209" s="10">
        <v>182313</v>
      </c>
      <c r="G209" s="10">
        <v>1717</v>
      </c>
      <c r="H209" s="10">
        <v>184030</v>
      </c>
    </row>
    <row r="210" spans="1:8" x14ac:dyDescent="0.55000000000000004">
      <c r="A210" s="10">
        <v>459</v>
      </c>
      <c r="B210" s="10">
        <v>1994357</v>
      </c>
      <c r="C210" s="10">
        <v>794600.09405027784</v>
      </c>
      <c r="D210" s="10">
        <v>0</v>
      </c>
      <c r="E210" s="10">
        <v>794600.09405027784</v>
      </c>
      <c r="F210" s="10">
        <v>259707.54052563335</v>
      </c>
      <c r="G210" s="10">
        <v>0</v>
      </c>
      <c r="H210" s="10">
        <v>259707.54052563335</v>
      </c>
    </row>
    <row r="211" spans="1:8" x14ac:dyDescent="0.55000000000000004">
      <c r="A211" s="10">
        <v>997</v>
      </c>
      <c r="B211" s="10">
        <v>432529</v>
      </c>
      <c r="C211" s="10">
        <v>196314.1025909672</v>
      </c>
      <c r="D211" s="10">
        <v>0</v>
      </c>
      <c r="E211" s="10">
        <v>196314.1025909672</v>
      </c>
      <c r="F211" s="10">
        <v>45554.440499000135</v>
      </c>
      <c r="G211" s="10">
        <v>0</v>
      </c>
      <c r="H211" s="10">
        <v>45554.440499000135</v>
      </c>
    </row>
    <row r="212" spans="1:8" x14ac:dyDescent="0.55000000000000004">
      <c r="A212" s="10">
        <v>385</v>
      </c>
      <c r="B212" s="10">
        <v>722816</v>
      </c>
      <c r="C212" s="10">
        <v>202217</v>
      </c>
      <c r="D212" s="10">
        <v>816</v>
      </c>
      <c r="E212" s="10">
        <v>201401</v>
      </c>
      <c r="F212" s="10">
        <v>73107</v>
      </c>
      <c r="G212" s="10">
        <v>4534</v>
      </c>
      <c r="H212" s="10">
        <v>77641</v>
      </c>
    </row>
    <row r="213" spans="1:8" x14ac:dyDescent="0.55000000000000004">
      <c r="A213" s="10">
        <v>611</v>
      </c>
      <c r="B213" s="10">
        <v>1194790</v>
      </c>
      <c r="C213" s="10">
        <v>299094</v>
      </c>
      <c r="D213" s="10">
        <v>-2638</v>
      </c>
      <c r="E213" s="10">
        <v>301732</v>
      </c>
      <c r="F213" s="10">
        <v>102860</v>
      </c>
      <c r="G213" s="10">
        <v>-1404</v>
      </c>
      <c r="H213" s="10">
        <v>101456</v>
      </c>
    </row>
    <row r="214" spans="1:8" x14ac:dyDescent="0.55000000000000004">
      <c r="A214" s="10">
        <v>707</v>
      </c>
      <c r="B214" s="10">
        <v>680165</v>
      </c>
      <c r="C214" s="10">
        <v>122261</v>
      </c>
      <c r="D214" s="10">
        <v>0</v>
      </c>
      <c r="E214" s="10">
        <v>122261</v>
      </c>
      <c r="F214" s="10">
        <v>64661</v>
      </c>
      <c r="G214" s="10">
        <v>0</v>
      </c>
      <c r="H214" s="10">
        <v>64661</v>
      </c>
    </row>
    <row r="215" spans="1:8" x14ac:dyDescent="0.55000000000000004">
      <c r="A215" s="10">
        <v>222</v>
      </c>
      <c r="B215" s="10">
        <v>367876</v>
      </c>
      <c r="C215" s="10">
        <v>158791</v>
      </c>
      <c r="D215" s="10">
        <v>-1216</v>
      </c>
      <c r="E215" s="10">
        <v>160007</v>
      </c>
      <c r="F215" s="10">
        <v>40804</v>
      </c>
      <c r="G215" s="10">
        <v>789</v>
      </c>
      <c r="H215" s="10">
        <v>41593</v>
      </c>
    </row>
    <row r="216" spans="1:8" x14ac:dyDescent="0.55000000000000004">
      <c r="A216" s="10">
        <v>325</v>
      </c>
      <c r="B216" s="10">
        <v>805278</v>
      </c>
      <c r="C216" s="10">
        <v>314625</v>
      </c>
      <c r="D216" s="10">
        <v>0</v>
      </c>
      <c r="E216" s="10">
        <v>314625</v>
      </c>
      <c r="F216" s="10">
        <v>97778</v>
      </c>
      <c r="G216" s="10">
        <v>0</v>
      </c>
      <c r="H216" s="10">
        <v>97778</v>
      </c>
    </row>
    <row r="217" spans="1:8" x14ac:dyDescent="0.55000000000000004">
      <c r="A217" s="10">
        <v>558</v>
      </c>
      <c r="B217" s="10">
        <v>1252284</v>
      </c>
      <c r="C217" s="10">
        <v>573028</v>
      </c>
      <c r="D217" s="10">
        <v>-7104</v>
      </c>
      <c r="E217" s="10">
        <v>580132</v>
      </c>
      <c r="F217" s="10">
        <v>74888</v>
      </c>
      <c r="G217" s="10">
        <v>1211</v>
      </c>
      <c r="H217" s="10">
        <v>76099</v>
      </c>
    </row>
    <row r="218" spans="1:8" x14ac:dyDescent="0.55000000000000004">
      <c r="A218" s="10">
        <v>264</v>
      </c>
      <c r="B218" s="10">
        <v>877667</v>
      </c>
      <c r="C218" s="10">
        <v>287296</v>
      </c>
      <c r="D218" s="10">
        <v>0</v>
      </c>
      <c r="E218" s="10">
        <v>287296</v>
      </c>
      <c r="F218" s="10">
        <v>134202</v>
      </c>
      <c r="G218" s="10">
        <v>0</v>
      </c>
      <c r="H218" s="10">
        <v>134202</v>
      </c>
    </row>
    <row r="219" spans="1:8" x14ac:dyDescent="0.55000000000000004">
      <c r="A219" s="10">
        <v>729</v>
      </c>
      <c r="B219" s="10">
        <v>1473674</v>
      </c>
      <c r="C219" s="10">
        <v>374082</v>
      </c>
      <c r="D219" s="10">
        <v>0</v>
      </c>
      <c r="E219" s="10">
        <v>374082</v>
      </c>
      <c r="F219" s="10">
        <v>108478</v>
      </c>
      <c r="G219" s="10">
        <v>0</v>
      </c>
      <c r="H219" s="10">
        <v>108478</v>
      </c>
    </row>
    <row r="220" spans="1:8" x14ac:dyDescent="0.55000000000000004">
      <c r="A220" s="10">
        <v>925</v>
      </c>
      <c r="B220" s="10">
        <v>1299275</v>
      </c>
      <c r="C220" s="10">
        <v>559016</v>
      </c>
      <c r="D220" s="10">
        <v>0</v>
      </c>
      <c r="E220" s="10">
        <v>559016</v>
      </c>
      <c r="F220" s="10">
        <v>112372</v>
      </c>
      <c r="G220" s="10">
        <v>0</v>
      </c>
      <c r="H220" s="10">
        <v>112372</v>
      </c>
    </row>
    <row r="221" spans="1:8" x14ac:dyDescent="0.55000000000000004">
      <c r="A221" s="10">
        <v>117</v>
      </c>
      <c r="B221" s="10">
        <v>699990</v>
      </c>
      <c r="C221" s="10">
        <v>223541.82316777215</v>
      </c>
      <c r="D221" s="10">
        <v>0</v>
      </c>
      <c r="E221" s="10">
        <v>223541.82316777215</v>
      </c>
      <c r="F221" s="10">
        <v>160725.43128224098</v>
      </c>
      <c r="G221" s="10">
        <v>0</v>
      </c>
      <c r="H221" s="10">
        <v>160725.43128224098</v>
      </c>
    </row>
    <row r="222" spans="1:8" x14ac:dyDescent="0.55000000000000004">
      <c r="A222" s="10">
        <v>968</v>
      </c>
      <c r="B222" s="10">
        <v>929068</v>
      </c>
      <c r="C222" s="10">
        <v>290387</v>
      </c>
      <c r="D222" s="10">
        <v>-3358</v>
      </c>
      <c r="E222" s="10">
        <v>293745</v>
      </c>
      <c r="F222" s="10">
        <v>139282</v>
      </c>
      <c r="G222" s="10">
        <v>-1270</v>
      </c>
      <c r="H222" s="10">
        <v>138012</v>
      </c>
    </row>
    <row r="223" spans="1:8" x14ac:dyDescent="0.55000000000000004">
      <c r="A223" s="10">
        <v>642</v>
      </c>
      <c r="B223" s="10">
        <v>1933167</v>
      </c>
      <c r="C223" s="10">
        <v>531576</v>
      </c>
      <c r="D223" s="10">
        <v>0</v>
      </c>
      <c r="E223" s="10">
        <v>531576</v>
      </c>
      <c r="F223" s="10">
        <v>267518</v>
      </c>
      <c r="G223" s="10">
        <v>0</v>
      </c>
      <c r="H223" s="10">
        <v>267518</v>
      </c>
    </row>
    <row r="224" spans="1:8" x14ac:dyDescent="0.55000000000000004">
      <c r="A224" s="10">
        <v>715</v>
      </c>
      <c r="B224" s="10">
        <v>598188</v>
      </c>
      <c r="C224" s="10">
        <v>213837</v>
      </c>
      <c r="D224" s="10">
        <v>7662</v>
      </c>
      <c r="E224" s="10">
        <v>206175</v>
      </c>
      <c r="F224" s="10">
        <v>71081</v>
      </c>
      <c r="G224" s="10">
        <v>272</v>
      </c>
      <c r="H224" s="10">
        <v>71353</v>
      </c>
    </row>
    <row r="225" spans="1:8" x14ac:dyDescent="0.55000000000000004">
      <c r="A225" s="10">
        <v>703</v>
      </c>
      <c r="B225" s="10">
        <v>1268289</v>
      </c>
      <c r="C225" s="10">
        <v>213626</v>
      </c>
      <c r="D225" s="10">
        <v>0</v>
      </c>
      <c r="E225" s="10">
        <v>213626</v>
      </c>
      <c r="F225" s="10">
        <v>92099</v>
      </c>
      <c r="G225" s="10">
        <v>0</v>
      </c>
      <c r="H225" s="10">
        <v>92099</v>
      </c>
    </row>
    <row r="226" spans="1:8" x14ac:dyDescent="0.55000000000000004">
      <c r="A226" s="10">
        <v>392</v>
      </c>
      <c r="B226" s="10">
        <v>572466</v>
      </c>
      <c r="C226" s="10">
        <v>211797</v>
      </c>
      <c r="D226" s="10">
        <v>-3629</v>
      </c>
      <c r="E226" s="10">
        <v>215426</v>
      </c>
      <c r="F226" s="10">
        <v>92904</v>
      </c>
      <c r="G226" s="10">
        <v>-657</v>
      </c>
      <c r="H226" s="10">
        <v>92247</v>
      </c>
    </row>
    <row r="227" spans="1:8" x14ac:dyDescent="0.55000000000000004">
      <c r="A227" s="10">
        <v>892</v>
      </c>
      <c r="B227" s="10">
        <v>465460</v>
      </c>
      <c r="C227" s="10">
        <v>133312</v>
      </c>
      <c r="D227" s="10">
        <v>0</v>
      </c>
      <c r="E227" s="10">
        <v>133312</v>
      </c>
      <c r="F227" s="10">
        <v>0</v>
      </c>
      <c r="G227" s="10">
        <v>0</v>
      </c>
      <c r="H227" s="10">
        <v>0</v>
      </c>
    </row>
    <row r="228" spans="1:8" x14ac:dyDescent="0.55000000000000004">
      <c r="A228" s="10">
        <v>978</v>
      </c>
      <c r="B228" s="10">
        <v>749282</v>
      </c>
      <c r="C228" s="10">
        <v>211345</v>
      </c>
      <c r="D228" s="10">
        <v>-5775</v>
      </c>
      <c r="E228" s="10">
        <v>217120</v>
      </c>
      <c r="F228" s="10">
        <v>51197</v>
      </c>
      <c r="G228" s="10">
        <v>-798</v>
      </c>
      <c r="H228" s="10">
        <v>50399</v>
      </c>
    </row>
    <row r="229" spans="1:8" x14ac:dyDescent="0.55000000000000004">
      <c r="A229" s="10">
        <v>658</v>
      </c>
      <c r="B229" s="10">
        <v>618780</v>
      </c>
      <c r="C229" s="10">
        <v>276614</v>
      </c>
      <c r="D229" s="10">
        <v>-1027</v>
      </c>
      <c r="E229" s="10">
        <v>277641</v>
      </c>
      <c r="F229" s="10">
        <v>102404</v>
      </c>
      <c r="G229" s="10">
        <v>-11781</v>
      </c>
      <c r="H229" s="10">
        <v>90623</v>
      </c>
    </row>
    <row r="230" spans="1:8" x14ac:dyDescent="0.55000000000000004">
      <c r="A230" s="10">
        <v>456</v>
      </c>
      <c r="B230" s="10">
        <v>341779</v>
      </c>
      <c r="C230" s="10">
        <v>291084</v>
      </c>
      <c r="D230" s="10">
        <v>-5946</v>
      </c>
      <c r="E230" s="10">
        <v>297030</v>
      </c>
      <c r="F230" s="10">
        <v>127696</v>
      </c>
      <c r="G230" s="10">
        <v>-4414</v>
      </c>
      <c r="H230" s="10">
        <v>123282</v>
      </c>
    </row>
    <row r="231" spans="1:8" x14ac:dyDescent="0.55000000000000004">
      <c r="A231" s="10">
        <v>919</v>
      </c>
      <c r="B231" s="10">
        <v>625937</v>
      </c>
      <c r="C231" s="10">
        <v>192177</v>
      </c>
      <c r="D231" s="10">
        <v>0</v>
      </c>
      <c r="E231" s="10">
        <v>192177</v>
      </c>
      <c r="F231" s="10">
        <v>115426</v>
      </c>
      <c r="G231" s="10">
        <v>0</v>
      </c>
      <c r="H231" s="10">
        <v>115426</v>
      </c>
    </row>
    <row r="232" spans="1:8" x14ac:dyDescent="0.55000000000000004">
      <c r="A232" s="10">
        <v>986</v>
      </c>
      <c r="B232" s="10">
        <v>619143</v>
      </c>
      <c r="C232" s="10">
        <v>221686</v>
      </c>
      <c r="D232" s="10">
        <v>0</v>
      </c>
      <c r="E232" s="10">
        <v>221686</v>
      </c>
      <c r="F232" s="10">
        <v>130207</v>
      </c>
      <c r="G232" s="10">
        <v>0</v>
      </c>
      <c r="H232" s="10">
        <v>130207</v>
      </c>
    </row>
    <row r="233" spans="1:8" x14ac:dyDescent="0.55000000000000004">
      <c r="A233" s="10">
        <v>242</v>
      </c>
      <c r="B233" s="10">
        <v>396482</v>
      </c>
      <c r="C233" s="10">
        <v>159503</v>
      </c>
      <c r="D233" s="10">
        <v>0</v>
      </c>
      <c r="E233" s="10">
        <v>159503</v>
      </c>
      <c r="F233" s="10">
        <v>40605</v>
      </c>
      <c r="G233" s="10">
        <v>0</v>
      </c>
      <c r="H233" s="10">
        <v>40605</v>
      </c>
    </row>
    <row r="234" spans="1:8" x14ac:dyDescent="0.55000000000000004">
      <c r="A234" s="10">
        <v>963</v>
      </c>
      <c r="B234" s="10">
        <v>798589</v>
      </c>
      <c r="C234" s="10">
        <v>187410</v>
      </c>
      <c r="D234" s="10">
        <v>-2502</v>
      </c>
      <c r="E234" s="10">
        <v>189912</v>
      </c>
      <c r="F234" s="10">
        <v>171888</v>
      </c>
      <c r="G234" s="10">
        <v>-1415</v>
      </c>
      <c r="H234" s="10">
        <v>170473</v>
      </c>
    </row>
    <row r="235" spans="1:8" x14ac:dyDescent="0.55000000000000004">
      <c r="A235" s="10">
        <v>632</v>
      </c>
      <c r="B235" s="10">
        <v>715735</v>
      </c>
      <c r="C235" s="10">
        <v>133788</v>
      </c>
      <c r="D235" s="10">
        <v>3912</v>
      </c>
      <c r="E235" s="10">
        <v>129876</v>
      </c>
      <c r="F235" s="10">
        <v>55356</v>
      </c>
      <c r="G235" s="10">
        <v>-1358</v>
      </c>
      <c r="H235" s="10">
        <v>53998</v>
      </c>
    </row>
    <row r="236" spans="1:8" x14ac:dyDescent="0.55000000000000004">
      <c r="A236" s="10">
        <v>789</v>
      </c>
      <c r="B236" s="10">
        <v>281040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</row>
    <row r="237" spans="1:8" x14ac:dyDescent="0.55000000000000004">
      <c r="A237" s="10">
        <v>526</v>
      </c>
      <c r="B237" s="10">
        <v>1130632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</row>
    <row r="238" spans="1:8" x14ac:dyDescent="0.55000000000000004">
      <c r="A238" s="10">
        <v>931</v>
      </c>
      <c r="B238" s="10">
        <v>407855</v>
      </c>
      <c r="C238" s="10">
        <v>433775</v>
      </c>
      <c r="D238" s="10">
        <v>0</v>
      </c>
      <c r="E238" s="10">
        <v>433775</v>
      </c>
      <c r="F238" s="10">
        <v>109571</v>
      </c>
      <c r="G238" s="10">
        <v>2732</v>
      </c>
      <c r="H238" s="10">
        <v>112303</v>
      </c>
    </row>
    <row r="239" spans="1:8" x14ac:dyDescent="0.55000000000000004">
      <c r="A239" s="10">
        <v>797</v>
      </c>
      <c r="B239" s="10">
        <v>652249</v>
      </c>
      <c r="C239" s="10">
        <v>26198</v>
      </c>
      <c r="D239" s="10">
        <v>0</v>
      </c>
      <c r="E239" s="10">
        <v>26198</v>
      </c>
      <c r="F239" s="10">
        <v>138465</v>
      </c>
      <c r="G239" s="10">
        <v>0</v>
      </c>
      <c r="H239" s="10">
        <v>138465</v>
      </c>
    </row>
    <row r="240" spans="1:8" x14ac:dyDescent="0.55000000000000004">
      <c r="A240" s="10">
        <v>563</v>
      </c>
      <c r="B240" s="10">
        <v>678940</v>
      </c>
      <c r="C240" s="10">
        <v>287090</v>
      </c>
      <c r="D240" s="10">
        <v>0</v>
      </c>
      <c r="E240" s="10">
        <v>287090</v>
      </c>
      <c r="F240" s="10">
        <v>137475</v>
      </c>
      <c r="G240" s="10">
        <v>0</v>
      </c>
      <c r="H240" s="10">
        <v>137475</v>
      </c>
    </row>
    <row r="241" spans="1:8" x14ac:dyDescent="0.55000000000000004">
      <c r="A241" s="10">
        <v>716</v>
      </c>
      <c r="B241" s="10">
        <v>1711834</v>
      </c>
      <c r="C241" s="10">
        <v>580048</v>
      </c>
      <c r="D241" s="10">
        <v>-35</v>
      </c>
      <c r="E241" s="10">
        <v>580083</v>
      </c>
      <c r="F241" s="10">
        <v>353503</v>
      </c>
      <c r="G241" s="10">
        <v>3464</v>
      </c>
      <c r="H241" s="10">
        <v>356967</v>
      </c>
    </row>
    <row r="242" spans="1:8" x14ac:dyDescent="0.55000000000000004">
      <c r="A242" s="10">
        <v>810</v>
      </c>
      <c r="B242" s="10">
        <v>597088</v>
      </c>
      <c r="C242" s="10">
        <v>45976</v>
      </c>
      <c r="D242" s="10">
        <v>-977</v>
      </c>
      <c r="E242" s="10">
        <v>46953</v>
      </c>
      <c r="F242" s="10">
        <v>149255</v>
      </c>
      <c r="G242" s="10">
        <v>-2169</v>
      </c>
      <c r="H242" s="10">
        <v>147086</v>
      </c>
    </row>
    <row r="243" spans="1:8" x14ac:dyDescent="0.55000000000000004">
      <c r="A243" s="10">
        <v>984</v>
      </c>
      <c r="B243" s="10">
        <v>1139635</v>
      </c>
      <c r="C243" s="10">
        <v>471661.24011657375</v>
      </c>
      <c r="D243" s="10">
        <v>0</v>
      </c>
      <c r="E243" s="10">
        <v>471661.24011657375</v>
      </c>
      <c r="F243" s="10">
        <v>99073.339226137381</v>
      </c>
      <c r="G243" s="10">
        <v>0</v>
      </c>
      <c r="H243" s="10">
        <v>99073.339226137381</v>
      </c>
    </row>
    <row r="244" spans="1:8" x14ac:dyDescent="0.55000000000000004">
      <c r="A244" s="10">
        <v>382</v>
      </c>
      <c r="B244" s="10">
        <v>1107793</v>
      </c>
      <c r="C244" s="10">
        <v>563828</v>
      </c>
      <c r="D244" s="10">
        <v>4354</v>
      </c>
      <c r="E244" s="10">
        <v>559474</v>
      </c>
      <c r="F244" s="10">
        <v>163714</v>
      </c>
      <c r="G244" s="10">
        <v>2178</v>
      </c>
      <c r="H244" s="10">
        <v>165892</v>
      </c>
    </row>
    <row r="245" spans="1:8" x14ac:dyDescent="0.55000000000000004">
      <c r="A245" s="10">
        <v>750</v>
      </c>
      <c r="B245" s="10">
        <v>298920</v>
      </c>
      <c r="C245" s="10">
        <v>233537</v>
      </c>
      <c r="D245" s="10">
        <v>5276</v>
      </c>
      <c r="E245" s="10">
        <v>228261</v>
      </c>
      <c r="F245" s="10">
        <v>79907</v>
      </c>
      <c r="G245" s="10">
        <v>2502</v>
      </c>
      <c r="H245" s="10">
        <v>82409</v>
      </c>
    </row>
    <row r="246" spans="1:8" x14ac:dyDescent="0.55000000000000004">
      <c r="A246" s="10">
        <v>496</v>
      </c>
      <c r="B246" s="10">
        <v>915513</v>
      </c>
      <c r="C246" s="10">
        <v>380278</v>
      </c>
      <c r="D246" s="10">
        <v>-9270</v>
      </c>
      <c r="E246" s="10">
        <v>389548</v>
      </c>
      <c r="F246" s="10">
        <v>134772</v>
      </c>
      <c r="G246" s="10">
        <v>-8164</v>
      </c>
      <c r="H246" s="10">
        <v>126608</v>
      </c>
    </row>
    <row r="247" spans="1:8" x14ac:dyDescent="0.55000000000000004">
      <c r="A247" s="10">
        <v>771</v>
      </c>
      <c r="B247" s="10">
        <v>634401</v>
      </c>
      <c r="C247" s="10">
        <v>182738</v>
      </c>
      <c r="D247" s="10">
        <v>1309</v>
      </c>
      <c r="E247" s="10">
        <v>181429</v>
      </c>
      <c r="F247" s="10">
        <v>82940</v>
      </c>
      <c r="G247" s="10">
        <v>-1545</v>
      </c>
      <c r="H247" s="10">
        <v>81395</v>
      </c>
    </row>
    <row r="248" spans="1:8" x14ac:dyDescent="0.55000000000000004">
      <c r="A248" s="10">
        <v>654</v>
      </c>
      <c r="B248" s="10">
        <v>1252564</v>
      </c>
      <c r="C248" s="10">
        <v>312179</v>
      </c>
      <c r="D248" s="10">
        <v>-730</v>
      </c>
      <c r="E248" s="10">
        <v>312909</v>
      </c>
      <c r="F248" s="10">
        <v>89453</v>
      </c>
      <c r="G248" s="10">
        <v>715</v>
      </c>
      <c r="H248" s="10">
        <v>90168</v>
      </c>
    </row>
    <row r="249" spans="1:8" x14ac:dyDescent="0.55000000000000004">
      <c r="A249" s="10">
        <v>550</v>
      </c>
      <c r="B249" s="10">
        <v>1060472</v>
      </c>
      <c r="C249" s="10">
        <v>428253</v>
      </c>
      <c r="D249" s="10">
        <v>3315</v>
      </c>
      <c r="E249" s="10">
        <v>424938</v>
      </c>
      <c r="F249" s="10">
        <v>65581</v>
      </c>
      <c r="G249" s="10">
        <v>-758</v>
      </c>
      <c r="H249" s="10">
        <v>64823</v>
      </c>
    </row>
    <row r="250" spans="1:8" x14ac:dyDescent="0.55000000000000004">
      <c r="A250" s="10">
        <v>962</v>
      </c>
      <c r="B250" s="10">
        <v>477421</v>
      </c>
      <c r="C250" s="10">
        <v>224267</v>
      </c>
      <c r="D250" s="10">
        <v>-775</v>
      </c>
      <c r="E250" s="10">
        <v>225042</v>
      </c>
      <c r="F250" s="10">
        <v>72499</v>
      </c>
      <c r="G250" s="10">
        <v>-336</v>
      </c>
      <c r="H250" s="10">
        <v>72163</v>
      </c>
    </row>
    <row r="251" spans="1:8" x14ac:dyDescent="0.55000000000000004">
      <c r="A251" s="10">
        <v>318</v>
      </c>
      <c r="B251" s="10">
        <v>988159</v>
      </c>
      <c r="C251" s="10">
        <v>455076</v>
      </c>
      <c r="D251" s="10">
        <v>-3682</v>
      </c>
      <c r="E251" s="10">
        <v>458758</v>
      </c>
      <c r="F251" s="10">
        <v>82185</v>
      </c>
      <c r="G251" s="10">
        <v>-1797</v>
      </c>
      <c r="H251" s="10">
        <v>80388</v>
      </c>
    </row>
    <row r="252" spans="1:8" x14ac:dyDescent="0.55000000000000004">
      <c r="A252" s="10">
        <v>461</v>
      </c>
      <c r="B252" s="10">
        <v>776629</v>
      </c>
      <c r="C252" s="10">
        <v>311675</v>
      </c>
      <c r="D252" s="10">
        <v>3043</v>
      </c>
      <c r="E252" s="10">
        <v>308632</v>
      </c>
      <c r="F252" s="10">
        <v>63485</v>
      </c>
      <c r="G252" s="10">
        <v>596</v>
      </c>
      <c r="H252" s="10">
        <v>64081</v>
      </c>
    </row>
    <row r="253" spans="1:8" x14ac:dyDescent="0.55000000000000004">
      <c r="A253" s="10">
        <v>235</v>
      </c>
      <c r="B253" s="10">
        <v>376644</v>
      </c>
      <c r="C253" s="10">
        <v>244732</v>
      </c>
      <c r="D253" s="10">
        <v>-11356</v>
      </c>
      <c r="E253" s="10">
        <v>256088</v>
      </c>
      <c r="F253" s="10">
        <v>84255</v>
      </c>
      <c r="G253" s="10">
        <v>3394</v>
      </c>
      <c r="H253" s="10">
        <v>87649</v>
      </c>
    </row>
    <row r="254" spans="1:8" x14ac:dyDescent="0.55000000000000004">
      <c r="A254" s="10">
        <v>606</v>
      </c>
      <c r="B254" s="10">
        <v>612976</v>
      </c>
      <c r="C254" s="10">
        <v>265916</v>
      </c>
      <c r="D254" s="10">
        <v>311</v>
      </c>
      <c r="E254" s="10">
        <v>265605</v>
      </c>
      <c r="F254" s="10">
        <v>98307</v>
      </c>
      <c r="G254" s="10">
        <v>48</v>
      </c>
      <c r="H254" s="10">
        <v>98355</v>
      </c>
    </row>
    <row r="255" spans="1:8" x14ac:dyDescent="0.55000000000000004">
      <c r="A255" s="10">
        <v>509</v>
      </c>
      <c r="B255" s="10">
        <v>1723506</v>
      </c>
      <c r="C255" s="10">
        <v>413959</v>
      </c>
      <c r="D255" s="10">
        <v>3759</v>
      </c>
      <c r="E255" s="10">
        <v>410200</v>
      </c>
      <c r="F255" s="10">
        <v>153639</v>
      </c>
      <c r="G255" s="10">
        <v>1613</v>
      </c>
      <c r="H255" s="10">
        <v>155252</v>
      </c>
    </row>
    <row r="256" spans="1:8" x14ac:dyDescent="0.55000000000000004">
      <c r="A256" s="10">
        <v>240</v>
      </c>
      <c r="B256" s="10">
        <v>848777</v>
      </c>
      <c r="C256" s="10">
        <v>247991</v>
      </c>
      <c r="D256" s="10">
        <v>0</v>
      </c>
      <c r="E256" s="10">
        <v>247991</v>
      </c>
      <c r="F256" s="10">
        <v>90732</v>
      </c>
      <c r="G256" s="10">
        <v>0</v>
      </c>
      <c r="H256" s="10">
        <v>90732</v>
      </c>
    </row>
    <row r="257" spans="1:8" x14ac:dyDescent="0.55000000000000004">
      <c r="A257" s="10">
        <v>156</v>
      </c>
      <c r="B257" s="10">
        <v>865863</v>
      </c>
      <c r="C257" s="10">
        <v>235844.00889966058</v>
      </c>
      <c r="D257" s="10">
        <v>0</v>
      </c>
      <c r="E257" s="10">
        <v>235844.00889966058</v>
      </c>
      <c r="F257" s="10">
        <v>138759.99641017549</v>
      </c>
      <c r="G257" s="10">
        <v>0</v>
      </c>
      <c r="H257" s="10">
        <v>138759.99641017549</v>
      </c>
    </row>
    <row r="258" spans="1:8" x14ac:dyDescent="0.55000000000000004">
      <c r="A258" s="10">
        <v>290</v>
      </c>
      <c r="B258" s="10">
        <v>270600</v>
      </c>
      <c r="C258" s="10">
        <v>136527</v>
      </c>
      <c r="D258" s="10">
        <v>186</v>
      </c>
      <c r="E258" s="10">
        <v>136341</v>
      </c>
      <c r="F258" s="10">
        <v>74611</v>
      </c>
      <c r="G258" s="10">
        <v>236</v>
      </c>
      <c r="H258" s="10">
        <v>74847</v>
      </c>
    </row>
    <row r="259" spans="1:8" x14ac:dyDescent="0.55000000000000004">
      <c r="A259" s="10">
        <v>816</v>
      </c>
      <c r="B259" s="10">
        <v>687595</v>
      </c>
      <c r="C259" s="10">
        <v>217340</v>
      </c>
      <c r="D259" s="10">
        <v>0</v>
      </c>
      <c r="E259" s="10">
        <v>217340</v>
      </c>
      <c r="F259" s="10">
        <v>72116</v>
      </c>
      <c r="G259" s="10">
        <v>0</v>
      </c>
      <c r="H259" s="10">
        <v>72116</v>
      </c>
    </row>
    <row r="260" spans="1:8" x14ac:dyDescent="0.55000000000000004">
      <c r="A260" s="10">
        <v>170</v>
      </c>
      <c r="B260" s="10">
        <v>308332</v>
      </c>
      <c r="C260" s="10">
        <v>173135</v>
      </c>
      <c r="D260" s="10">
        <v>0</v>
      </c>
      <c r="E260" s="10">
        <v>173135</v>
      </c>
      <c r="F260" s="10">
        <v>105806</v>
      </c>
      <c r="G260" s="10">
        <v>0</v>
      </c>
      <c r="H260" s="10">
        <v>105806</v>
      </c>
    </row>
    <row r="261" spans="1:8" x14ac:dyDescent="0.55000000000000004">
      <c r="A261" s="10">
        <v>493</v>
      </c>
      <c r="B261" s="10">
        <v>373720</v>
      </c>
      <c r="C261" s="10">
        <v>286942</v>
      </c>
      <c r="D261" s="10">
        <v>-118</v>
      </c>
      <c r="E261" s="10">
        <v>287060</v>
      </c>
      <c r="F261" s="10">
        <v>83214</v>
      </c>
      <c r="G261" s="10">
        <v>526</v>
      </c>
      <c r="H261" s="10">
        <v>83740</v>
      </c>
    </row>
    <row r="262" spans="1:8" x14ac:dyDescent="0.55000000000000004">
      <c r="A262" s="10">
        <v>289</v>
      </c>
      <c r="B262" s="10">
        <v>348064</v>
      </c>
      <c r="C262" s="10">
        <v>81463</v>
      </c>
      <c r="D262" s="10">
        <v>984</v>
      </c>
      <c r="E262" s="10">
        <v>80479</v>
      </c>
      <c r="F262" s="10">
        <v>71977</v>
      </c>
      <c r="G262" s="10">
        <v>847</v>
      </c>
      <c r="H262" s="10">
        <v>72824</v>
      </c>
    </row>
    <row r="263" spans="1:8" x14ac:dyDescent="0.55000000000000004">
      <c r="A263" s="10">
        <v>698</v>
      </c>
      <c r="B263" s="10">
        <v>639848</v>
      </c>
      <c r="C263" s="10">
        <v>180439</v>
      </c>
      <c r="D263" s="10">
        <v>0</v>
      </c>
      <c r="E263" s="10">
        <v>180439</v>
      </c>
      <c r="F263" s="10">
        <v>61283</v>
      </c>
      <c r="G263" s="10">
        <v>0</v>
      </c>
      <c r="H263" s="10">
        <v>61283</v>
      </c>
    </row>
    <row r="264" spans="1:8" x14ac:dyDescent="0.55000000000000004">
      <c r="A264" s="10">
        <v>568</v>
      </c>
      <c r="B264" s="10">
        <v>379205</v>
      </c>
      <c r="C264" s="10">
        <v>216805</v>
      </c>
      <c r="D264" s="10">
        <v>0</v>
      </c>
      <c r="E264" s="10">
        <v>216805</v>
      </c>
      <c r="F264" s="10">
        <v>81032</v>
      </c>
      <c r="G264" s="10">
        <v>0</v>
      </c>
      <c r="H264" s="10">
        <v>81032</v>
      </c>
    </row>
    <row r="265" spans="1:8" x14ac:dyDescent="0.55000000000000004">
      <c r="A265" s="10">
        <v>843</v>
      </c>
      <c r="B265" s="10">
        <v>756168</v>
      </c>
      <c r="C265" s="10">
        <v>270059</v>
      </c>
      <c r="D265" s="10">
        <v>6807</v>
      </c>
      <c r="E265" s="10">
        <v>263252</v>
      </c>
      <c r="F265" s="10">
        <v>99194</v>
      </c>
      <c r="G265" s="10">
        <v>380</v>
      </c>
      <c r="H265" s="10">
        <v>99574</v>
      </c>
    </row>
    <row r="266" spans="1:8" x14ac:dyDescent="0.55000000000000004">
      <c r="A266" s="10">
        <v>420</v>
      </c>
      <c r="B266" s="10">
        <v>424259</v>
      </c>
      <c r="C266" s="10">
        <v>204387</v>
      </c>
      <c r="D266" s="10">
        <v>0</v>
      </c>
      <c r="E266" s="10">
        <v>204387</v>
      </c>
      <c r="F266" s="10">
        <v>114904</v>
      </c>
      <c r="G266" s="10">
        <v>0</v>
      </c>
      <c r="H266" s="10">
        <v>114904</v>
      </c>
    </row>
    <row r="267" spans="1:8" x14ac:dyDescent="0.55000000000000004">
      <c r="A267" s="10">
        <v>384</v>
      </c>
      <c r="B267" s="10">
        <v>249748</v>
      </c>
      <c r="C267" s="10">
        <v>172343</v>
      </c>
      <c r="D267" s="10">
        <v>0</v>
      </c>
      <c r="E267" s="10">
        <v>172343</v>
      </c>
      <c r="F267" s="10">
        <v>130061</v>
      </c>
      <c r="G267" s="10">
        <v>0</v>
      </c>
      <c r="H267" s="10">
        <v>130061</v>
      </c>
    </row>
    <row r="268" spans="1:8" x14ac:dyDescent="0.55000000000000004">
      <c r="A268" s="10">
        <v>708</v>
      </c>
      <c r="B268" s="10">
        <v>706713</v>
      </c>
      <c r="C268" s="10">
        <v>301549</v>
      </c>
      <c r="D268" s="10">
        <v>-1153</v>
      </c>
      <c r="E268" s="10">
        <v>302702</v>
      </c>
      <c r="F268" s="10">
        <v>159846</v>
      </c>
      <c r="G268" s="10">
        <v>323</v>
      </c>
      <c r="H268" s="10">
        <v>160169</v>
      </c>
    </row>
    <row r="269" spans="1:8" x14ac:dyDescent="0.55000000000000004">
      <c r="A269" s="10">
        <v>571</v>
      </c>
      <c r="B269" s="10">
        <v>1951548</v>
      </c>
      <c r="C269" s="10">
        <v>494898</v>
      </c>
      <c r="D269" s="10">
        <v>32</v>
      </c>
      <c r="E269" s="10">
        <v>494866</v>
      </c>
      <c r="F269" s="10">
        <v>202942</v>
      </c>
      <c r="G269" s="10">
        <v>-2098</v>
      </c>
      <c r="H269" s="10">
        <v>200844</v>
      </c>
    </row>
    <row r="270" spans="1:8" x14ac:dyDescent="0.55000000000000004">
      <c r="A270" s="10">
        <v>863</v>
      </c>
      <c r="B270" s="10">
        <v>1141532</v>
      </c>
      <c r="C270" s="10">
        <v>379001</v>
      </c>
      <c r="D270" s="10">
        <v>0</v>
      </c>
      <c r="E270" s="10">
        <v>379001</v>
      </c>
      <c r="F270" s="10">
        <v>207057</v>
      </c>
      <c r="G270" s="10">
        <v>0</v>
      </c>
      <c r="H270" s="10">
        <v>207057</v>
      </c>
    </row>
    <row r="271" spans="1:8" x14ac:dyDescent="0.55000000000000004">
      <c r="A271" s="10">
        <v>737</v>
      </c>
      <c r="B271" s="10">
        <v>551163</v>
      </c>
      <c r="C271" s="10">
        <v>222892</v>
      </c>
      <c r="D271" s="10">
        <v>-2058</v>
      </c>
      <c r="E271" s="10">
        <v>224950</v>
      </c>
      <c r="F271" s="10">
        <v>71999</v>
      </c>
      <c r="G271" s="10">
        <v>525</v>
      </c>
      <c r="H271" s="10">
        <v>72524</v>
      </c>
    </row>
    <row r="272" spans="1:8" x14ac:dyDescent="0.55000000000000004">
      <c r="A272" s="10">
        <v>343</v>
      </c>
      <c r="B272" s="10">
        <v>610671</v>
      </c>
      <c r="C272" s="10">
        <v>316629</v>
      </c>
      <c r="D272" s="10">
        <v>-1162</v>
      </c>
      <c r="E272" s="10">
        <v>317791</v>
      </c>
      <c r="F272" s="10">
        <v>137187</v>
      </c>
      <c r="G272" s="10">
        <v>-4320</v>
      </c>
      <c r="H272" s="10">
        <v>132867</v>
      </c>
    </row>
    <row r="273" spans="1:8" x14ac:dyDescent="0.55000000000000004">
      <c r="A273" s="10">
        <v>390</v>
      </c>
      <c r="B273" s="10">
        <v>663279</v>
      </c>
      <c r="C273" s="10">
        <v>263127.87623061327</v>
      </c>
      <c r="D273" s="10">
        <v>0</v>
      </c>
      <c r="E273" s="10">
        <v>263127.87623061327</v>
      </c>
      <c r="F273" s="10">
        <v>115000.6409924515</v>
      </c>
      <c r="G273" s="10">
        <v>0</v>
      </c>
      <c r="H273" s="10">
        <v>115000.6409924515</v>
      </c>
    </row>
    <row r="274" spans="1:8" x14ac:dyDescent="0.55000000000000004">
      <c r="A274" s="10">
        <v>274</v>
      </c>
      <c r="B274" s="10">
        <v>808428</v>
      </c>
      <c r="C274" s="10">
        <v>432786.95513708296</v>
      </c>
      <c r="D274" s="10">
        <v>0</v>
      </c>
      <c r="E274" s="10">
        <v>432786.95513708296</v>
      </c>
      <c r="F274" s="10">
        <v>167754.98402348679</v>
      </c>
      <c r="G274" s="10">
        <v>0</v>
      </c>
      <c r="H274" s="10">
        <v>167754.98402348679</v>
      </c>
    </row>
    <row r="275" spans="1:8" x14ac:dyDescent="0.55000000000000004">
      <c r="A275" s="10">
        <v>586</v>
      </c>
      <c r="B275" s="10">
        <v>1019150</v>
      </c>
      <c r="C275" s="10">
        <v>251442</v>
      </c>
      <c r="D275" s="10">
        <v>0</v>
      </c>
      <c r="E275" s="10">
        <v>251442</v>
      </c>
      <c r="F275" s="10">
        <v>159852</v>
      </c>
      <c r="G275" s="10">
        <v>0</v>
      </c>
      <c r="H275" s="10">
        <v>159852</v>
      </c>
    </row>
    <row r="276" spans="1:8" x14ac:dyDescent="0.55000000000000004">
      <c r="A276" s="10">
        <v>604</v>
      </c>
      <c r="B276" s="10">
        <v>1031943</v>
      </c>
      <c r="C276" s="10">
        <v>428450</v>
      </c>
      <c r="D276" s="10">
        <v>-7401</v>
      </c>
      <c r="E276" s="10">
        <v>435851</v>
      </c>
      <c r="F276" s="10">
        <v>151009</v>
      </c>
      <c r="G276" s="10">
        <v>-219</v>
      </c>
      <c r="H276" s="10">
        <v>150790</v>
      </c>
    </row>
    <row r="277" spans="1:8" x14ac:dyDescent="0.55000000000000004">
      <c r="A277" s="10">
        <v>273</v>
      </c>
      <c r="B277" s="10">
        <v>1711252</v>
      </c>
      <c r="C277" s="10">
        <v>522516</v>
      </c>
      <c r="D277" s="10">
        <v>0</v>
      </c>
      <c r="E277" s="10">
        <v>522516</v>
      </c>
      <c r="F277" s="10">
        <v>194309</v>
      </c>
      <c r="G277" s="10">
        <v>0</v>
      </c>
      <c r="H277" s="10">
        <v>194309</v>
      </c>
    </row>
    <row r="278" spans="1:8" x14ac:dyDescent="0.55000000000000004">
      <c r="A278" s="10">
        <v>408</v>
      </c>
      <c r="B278" s="10">
        <v>1147784</v>
      </c>
      <c r="C278" s="10">
        <v>411841</v>
      </c>
      <c r="D278" s="10">
        <v>0</v>
      </c>
      <c r="E278" s="10">
        <v>411841</v>
      </c>
      <c r="F278" s="10">
        <v>191577</v>
      </c>
      <c r="G278" s="10">
        <v>0</v>
      </c>
      <c r="H278" s="10">
        <v>191577</v>
      </c>
    </row>
    <row r="279" spans="1:8" x14ac:dyDescent="0.55000000000000004">
      <c r="A279" s="10">
        <v>505</v>
      </c>
      <c r="B279" s="10">
        <v>613858</v>
      </c>
      <c r="C279" s="10">
        <v>289940.11082672462</v>
      </c>
      <c r="D279" s="10">
        <v>0</v>
      </c>
      <c r="E279" s="10">
        <v>289940.11082672462</v>
      </c>
      <c r="F279" s="10">
        <v>75425.397415659521</v>
      </c>
      <c r="G279" s="10">
        <v>0</v>
      </c>
      <c r="H279" s="10">
        <v>75425.397415659521</v>
      </c>
    </row>
    <row r="280" spans="1:8" x14ac:dyDescent="0.55000000000000004">
      <c r="A280" s="10">
        <v>387</v>
      </c>
      <c r="B280" s="10">
        <v>378780</v>
      </c>
      <c r="C280" s="10">
        <v>170876</v>
      </c>
      <c r="D280" s="10">
        <v>0</v>
      </c>
      <c r="E280" s="10">
        <v>170876</v>
      </c>
      <c r="F280" s="10">
        <v>169664</v>
      </c>
      <c r="G280" s="10">
        <v>0</v>
      </c>
      <c r="H280" s="10">
        <v>169664</v>
      </c>
    </row>
    <row r="281" spans="1:8" x14ac:dyDescent="0.55000000000000004">
      <c r="A281" s="10">
        <v>787</v>
      </c>
      <c r="B281" s="10">
        <v>1254122</v>
      </c>
      <c r="C281" s="10">
        <v>356263</v>
      </c>
      <c r="D281" s="10">
        <v>0</v>
      </c>
      <c r="E281" s="10">
        <v>356263</v>
      </c>
      <c r="F281" s="10">
        <v>167091</v>
      </c>
      <c r="G281" s="10">
        <v>0</v>
      </c>
      <c r="H281" s="10">
        <v>167091</v>
      </c>
    </row>
    <row r="282" spans="1:8" x14ac:dyDescent="0.55000000000000004">
      <c r="A282" s="10">
        <v>950</v>
      </c>
      <c r="B282" s="10">
        <v>734841</v>
      </c>
      <c r="C282" s="10">
        <v>217606</v>
      </c>
      <c r="D282" s="10">
        <v>-1048</v>
      </c>
      <c r="E282" s="10">
        <v>218654</v>
      </c>
      <c r="F282" s="10">
        <v>81840</v>
      </c>
      <c r="G282" s="10">
        <v>121</v>
      </c>
      <c r="H282" s="10">
        <v>81961</v>
      </c>
    </row>
    <row r="283" spans="1:8" x14ac:dyDescent="0.55000000000000004">
      <c r="A283" s="10">
        <v>437</v>
      </c>
      <c r="B283" s="10">
        <v>956253</v>
      </c>
      <c r="C283" s="10">
        <v>214854</v>
      </c>
      <c r="D283" s="10">
        <v>-4451</v>
      </c>
      <c r="E283" s="10">
        <v>219305</v>
      </c>
      <c r="F283" s="10">
        <v>88601</v>
      </c>
      <c r="G283" s="10">
        <v>-409</v>
      </c>
      <c r="H283" s="10">
        <v>88192</v>
      </c>
    </row>
    <row r="284" spans="1:8" x14ac:dyDescent="0.55000000000000004">
      <c r="A284" s="10">
        <v>688</v>
      </c>
      <c r="B284" s="10">
        <v>785101</v>
      </c>
      <c r="C284" s="10">
        <v>354175</v>
      </c>
      <c r="D284" s="10">
        <v>0</v>
      </c>
      <c r="E284" s="10">
        <v>354175</v>
      </c>
      <c r="F284" s="10">
        <v>351663</v>
      </c>
      <c r="G284" s="10">
        <v>0</v>
      </c>
      <c r="H284" s="10">
        <v>351663</v>
      </c>
    </row>
    <row r="285" spans="1:8" x14ac:dyDescent="0.55000000000000004">
      <c r="A285" s="10">
        <v>656</v>
      </c>
      <c r="B285" s="10">
        <v>850819</v>
      </c>
      <c r="C285" s="10">
        <v>336284</v>
      </c>
      <c r="D285" s="10">
        <v>0</v>
      </c>
      <c r="E285" s="10">
        <v>336284</v>
      </c>
      <c r="F285" s="10">
        <v>138434</v>
      </c>
      <c r="G285" s="10">
        <v>0</v>
      </c>
      <c r="H285" s="10">
        <v>138434</v>
      </c>
    </row>
    <row r="286" spans="1:8" x14ac:dyDescent="0.55000000000000004">
      <c r="A286" s="10">
        <v>924</v>
      </c>
      <c r="B286" s="10">
        <v>592177</v>
      </c>
      <c r="C286" s="10">
        <v>161581</v>
      </c>
      <c r="D286" s="10">
        <v>0</v>
      </c>
      <c r="E286" s="10">
        <v>161581</v>
      </c>
      <c r="F286" s="10">
        <v>0</v>
      </c>
      <c r="G286" s="10">
        <v>0</v>
      </c>
      <c r="H286" s="10">
        <v>0</v>
      </c>
    </row>
    <row r="287" spans="1:8" x14ac:dyDescent="0.55000000000000004">
      <c r="A287" s="10">
        <v>212</v>
      </c>
      <c r="B287" s="10">
        <v>1093546</v>
      </c>
      <c r="C287" s="10">
        <v>280752</v>
      </c>
      <c r="D287" s="10">
        <v>2026</v>
      </c>
      <c r="E287" s="10">
        <v>278726</v>
      </c>
      <c r="F287" s="10">
        <v>136162</v>
      </c>
      <c r="G287" s="10">
        <v>542</v>
      </c>
      <c r="H287" s="10">
        <v>136704</v>
      </c>
    </row>
    <row r="288" spans="1:8" x14ac:dyDescent="0.55000000000000004">
      <c r="A288" s="10">
        <v>719</v>
      </c>
      <c r="B288" s="10">
        <v>647971</v>
      </c>
      <c r="C288" s="10">
        <v>212560.38185268312</v>
      </c>
      <c r="D288" s="10">
        <v>0</v>
      </c>
      <c r="E288" s="10">
        <v>212560.38185268312</v>
      </c>
      <c r="F288" s="10">
        <v>107684.48078328998</v>
      </c>
      <c r="G288" s="10">
        <v>0</v>
      </c>
      <c r="H288" s="10">
        <v>107684.48078328998</v>
      </c>
    </row>
    <row r="289" spans="1:8" x14ac:dyDescent="0.55000000000000004">
      <c r="A289" s="10">
        <v>193</v>
      </c>
      <c r="B289" s="10">
        <v>1698208</v>
      </c>
      <c r="C289" s="10">
        <v>412084</v>
      </c>
      <c r="D289" s="10">
        <v>1570</v>
      </c>
      <c r="E289" s="10">
        <v>410514</v>
      </c>
      <c r="F289" s="10">
        <v>192899</v>
      </c>
      <c r="G289" s="10">
        <v>-8555</v>
      </c>
      <c r="H289" s="10">
        <v>184344</v>
      </c>
    </row>
    <row r="290" spans="1:8" x14ac:dyDescent="0.55000000000000004">
      <c r="A290" s="10">
        <v>910</v>
      </c>
      <c r="B290" s="10">
        <v>1546520</v>
      </c>
      <c r="C290" s="10">
        <v>574219</v>
      </c>
      <c r="D290" s="10">
        <v>7620</v>
      </c>
      <c r="E290" s="10">
        <v>566599</v>
      </c>
      <c r="F290" s="10">
        <v>249965</v>
      </c>
      <c r="G290" s="10">
        <v>-9329</v>
      </c>
      <c r="H290" s="10">
        <v>240636</v>
      </c>
    </row>
    <row r="291" spans="1:8" x14ac:dyDescent="0.55000000000000004">
      <c r="A291" s="10">
        <v>970</v>
      </c>
      <c r="B291" s="10">
        <v>238219</v>
      </c>
      <c r="C291" s="10">
        <v>234536</v>
      </c>
      <c r="D291" s="10">
        <v>0</v>
      </c>
      <c r="E291" s="10">
        <v>234536</v>
      </c>
      <c r="F291" s="10">
        <v>79387</v>
      </c>
      <c r="G291" s="10">
        <v>0</v>
      </c>
      <c r="H291" s="10">
        <v>79387</v>
      </c>
    </row>
    <row r="292" spans="1:8" x14ac:dyDescent="0.55000000000000004">
      <c r="A292" s="10">
        <v>953</v>
      </c>
      <c r="B292" s="10">
        <v>612893</v>
      </c>
      <c r="C292" s="10">
        <v>254644.53357699185</v>
      </c>
      <c r="D292" s="10">
        <v>0</v>
      </c>
      <c r="E292" s="10">
        <v>254644.53357699185</v>
      </c>
      <c r="F292" s="10">
        <v>78161.489553029693</v>
      </c>
      <c r="G292" s="10">
        <v>0</v>
      </c>
      <c r="H292" s="10">
        <v>78161.489553029693</v>
      </c>
    </row>
    <row r="293" spans="1:8" x14ac:dyDescent="0.55000000000000004">
      <c r="A293" s="10">
        <v>366</v>
      </c>
      <c r="B293" s="10">
        <v>2110973</v>
      </c>
      <c r="C293" s="10">
        <v>736167</v>
      </c>
      <c r="D293" s="10">
        <v>0</v>
      </c>
      <c r="E293" s="10">
        <v>736167</v>
      </c>
      <c r="F293" s="10">
        <v>176306</v>
      </c>
      <c r="G293" s="10">
        <v>0</v>
      </c>
      <c r="H293" s="10">
        <v>176306</v>
      </c>
    </row>
    <row r="294" spans="1:8" x14ac:dyDescent="0.55000000000000004">
      <c r="A294" s="10">
        <v>499</v>
      </c>
      <c r="B294" s="10">
        <v>958637</v>
      </c>
      <c r="C294" s="10">
        <v>301523</v>
      </c>
      <c r="D294" s="10">
        <v>0</v>
      </c>
      <c r="E294" s="10">
        <v>301523</v>
      </c>
      <c r="F294" s="10">
        <v>116534</v>
      </c>
      <c r="G294" s="10">
        <v>0</v>
      </c>
      <c r="H294" s="10">
        <v>116534</v>
      </c>
    </row>
    <row r="295" spans="1:8" x14ac:dyDescent="0.55000000000000004">
      <c r="A295" s="10">
        <v>527</v>
      </c>
      <c r="B295" s="10">
        <v>1698725</v>
      </c>
      <c r="C295" s="10">
        <v>932041</v>
      </c>
      <c r="D295" s="10">
        <v>74</v>
      </c>
      <c r="E295" s="10">
        <v>931967</v>
      </c>
      <c r="F295" s="10">
        <v>541123</v>
      </c>
      <c r="G295" s="10">
        <v>2132</v>
      </c>
      <c r="H295" s="10">
        <v>543255</v>
      </c>
    </row>
    <row r="296" spans="1:8" x14ac:dyDescent="0.55000000000000004">
      <c r="A296" s="10">
        <v>833</v>
      </c>
      <c r="B296" s="10">
        <v>417350</v>
      </c>
      <c r="C296" s="10">
        <v>117148</v>
      </c>
      <c r="D296" s="10">
        <v>0</v>
      </c>
      <c r="E296" s="10">
        <v>117148</v>
      </c>
      <c r="F296" s="10">
        <v>112106</v>
      </c>
      <c r="G296" s="10">
        <v>0</v>
      </c>
      <c r="H296" s="10">
        <v>112106</v>
      </c>
    </row>
    <row r="297" spans="1:8" x14ac:dyDescent="0.55000000000000004">
      <c r="A297" s="10">
        <v>756</v>
      </c>
      <c r="B297" s="10">
        <v>389391</v>
      </c>
      <c r="C297" s="10">
        <v>109466</v>
      </c>
      <c r="D297" s="10">
        <v>2583</v>
      </c>
      <c r="E297" s="10">
        <v>106883</v>
      </c>
      <c r="F297" s="10">
        <v>0</v>
      </c>
      <c r="G297" s="10">
        <v>0</v>
      </c>
      <c r="H297" s="10">
        <v>0</v>
      </c>
    </row>
    <row r="298" spans="1:8" x14ac:dyDescent="0.55000000000000004">
      <c r="A298" s="10">
        <v>640</v>
      </c>
      <c r="B298" s="10">
        <v>275522</v>
      </c>
      <c r="C298" s="10">
        <v>183427</v>
      </c>
      <c r="D298" s="10">
        <v>0</v>
      </c>
      <c r="E298" s="10">
        <v>183427</v>
      </c>
      <c r="F298" s="10">
        <v>66491</v>
      </c>
      <c r="G298" s="10">
        <v>0</v>
      </c>
      <c r="H298" s="10">
        <v>66491</v>
      </c>
    </row>
    <row r="299" spans="1:8" x14ac:dyDescent="0.55000000000000004">
      <c r="A299" s="10">
        <v>818</v>
      </c>
      <c r="B299" s="10">
        <v>711148</v>
      </c>
      <c r="C299" s="10">
        <v>276516</v>
      </c>
      <c r="D299" s="10">
        <v>0</v>
      </c>
      <c r="E299" s="10">
        <v>276516</v>
      </c>
      <c r="F299" s="10">
        <v>229960</v>
      </c>
      <c r="G299" s="10">
        <v>0</v>
      </c>
      <c r="H299" s="10">
        <v>229960</v>
      </c>
    </row>
    <row r="300" spans="1:8" x14ac:dyDescent="0.55000000000000004">
      <c r="A300" s="10">
        <v>500</v>
      </c>
      <c r="B300" s="10">
        <v>1123817</v>
      </c>
      <c r="C300" s="10">
        <v>383164</v>
      </c>
      <c r="D300" s="10">
        <v>0</v>
      </c>
      <c r="E300" s="10">
        <v>383164</v>
      </c>
      <c r="F300" s="10">
        <v>195292</v>
      </c>
      <c r="G300" s="10">
        <v>0</v>
      </c>
      <c r="H300" s="10">
        <v>195292</v>
      </c>
    </row>
    <row r="301" spans="1:8" x14ac:dyDescent="0.55000000000000004">
      <c r="A301" s="10">
        <v>491</v>
      </c>
      <c r="B301" s="10">
        <v>754065</v>
      </c>
      <c r="C301" s="10">
        <v>312518</v>
      </c>
      <c r="D301" s="10">
        <v>-5723</v>
      </c>
      <c r="E301" s="10">
        <v>318241</v>
      </c>
      <c r="F301" s="10">
        <v>52712</v>
      </c>
      <c r="G301" s="10">
        <v>-3382</v>
      </c>
      <c r="H301" s="10">
        <v>49330</v>
      </c>
    </row>
    <row r="302" spans="1:8" x14ac:dyDescent="0.55000000000000004">
      <c r="A302" s="10">
        <v>718</v>
      </c>
      <c r="B302" s="10">
        <v>1158854</v>
      </c>
      <c r="C302" s="10">
        <v>401209</v>
      </c>
      <c r="D302" s="10">
        <v>-11859</v>
      </c>
      <c r="E302" s="10">
        <v>413068</v>
      </c>
      <c r="F302" s="10">
        <v>152640</v>
      </c>
      <c r="G302" s="10">
        <v>1837</v>
      </c>
      <c r="H302" s="10">
        <v>154477</v>
      </c>
    </row>
    <row r="303" spans="1:8" x14ac:dyDescent="0.55000000000000004">
      <c r="A303" s="10">
        <v>429</v>
      </c>
      <c r="B303" s="10">
        <v>687036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</row>
    <row r="304" spans="1:8" x14ac:dyDescent="0.55000000000000004">
      <c r="A304" s="10">
        <v>890</v>
      </c>
      <c r="B304" s="10">
        <v>1083887</v>
      </c>
      <c r="C304" s="10">
        <v>554022</v>
      </c>
      <c r="D304" s="10">
        <v>0</v>
      </c>
      <c r="E304" s="10">
        <v>554022</v>
      </c>
      <c r="F304" s="10">
        <v>50030</v>
      </c>
      <c r="G304" s="10">
        <v>0</v>
      </c>
      <c r="H304" s="10">
        <v>50030</v>
      </c>
    </row>
    <row r="305" spans="1:8" x14ac:dyDescent="0.55000000000000004">
      <c r="A305" s="10">
        <v>821</v>
      </c>
      <c r="B305" s="10">
        <v>590393</v>
      </c>
      <c r="C305" s="10">
        <v>219027</v>
      </c>
      <c r="D305" s="10">
        <v>0</v>
      </c>
      <c r="E305" s="10">
        <v>219027</v>
      </c>
      <c r="F305" s="10">
        <v>98333</v>
      </c>
      <c r="G305" s="10">
        <v>1000</v>
      </c>
      <c r="H305" s="10">
        <v>99333</v>
      </c>
    </row>
    <row r="306" spans="1:8" x14ac:dyDescent="0.55000000000000004">
      <c r="A306" s="10">
        <v>411</v>
      </c>
      <c r="B306" s="10">
        <v>840992</v>
      </c>
      <c r="C306" s="10">
        <v>228839</v>
      </c>
      <c r="D306" s="10">
        <v>361</v>
      </c>
      <c r="E306" s="10">
        <v>228478</v>
      </c>
      <c r="F306" s="10">
        <v>85444</v>
      </c>
      <c r="G306" s="10">
        <v>2820</v>
      </c>
      <c r="H306" s="10">
        <v>88264</v>
      </c>
    </row>
    <row r="307" spans="1:8" x14ac:dyDescent="0.55000000000000004">
      <c r="A307" s="10">
        <v>376</v>
      </c>
      <c r="B307" s="10">
        <v>1173812</v>
      </c>
      <c r="C307" s="10">
        <v>478715</v>
      </c>
      <c r="D307" s="10">
        <v>-325</v>
      </c>
      <c r="E307" s="10">
        <v>479040</v>
      </c>
      <c r="F307" s="10">
        <v>182390</v>
      </c>
      <c r="G307" s="10">
        <v>-780</v>
      </c>
      <c r="H307" s="10">
        <v>181610</v>
      </c>
    </row>
    <row r="308" spans="1:8" x14ac:dyDescent="0.55000000000000004">
      <c r="A308" s="10">
        <v>852</v>
      </c>
      <c r="B308" s="10">
        <v>1449649</v>
      </c>
      <c r="C308" s="10">
        <v>311457</v>
      </c>
      <c r="D308" s="10">
        <v>-2560</v>
      </c>
      <c r="E308" s="10">
        <v>314017</v>
      </c>
      <c r="F308" s="10">
        <v>139525</v>
      </c>
      <c r="G308" s="10">
        <v>4519</v>
      </c>
      <c r="H308" s="10">
        <v>144044</v>
      </c>
    </row>
    <row r="309" spans="1:8" x14ac:dyDescent="0.55000000000000004">
      <c r="A309" s="10">
        <v>143</v>
      </c>
      <c r="B309" s="10">
        <v>463672</v>
      </c>
      <c r="C309" s="10">
        <v>215402.27140877867</v>
      </c>
      <c r="D309" s="10">
        <v>0</v>
      </c>
      <c r="E309" s="10">
        <v>215402.27140877867</v>
      </c>
      <c r="F309" s="10">
        <v>94699</v>
      </c>
      <c r="G309" s="10">
        <v>1054</v>
      </c>
      <c r="H309" s="10">
        <v>95753</v>
      </c>
    </row>
    <row r="310" spans="1:8" x14ac:dyDescent="0.55000000000000004">
      <c r="A310" s="10">
        <v>590</v>
      </c>
      <c r="B310" s="10">
        <v>815963</v>
      </c>
      <c r="C310" s="10">
        <v>346079</v>
      </c>
      <c r="D310" s="10">
        <v>-5824</v>
      </c>
      <c r="E310" s="10">
        <v>351903</v>
      </c>
      <c r="F310" s="10">
        <v>153161</v>
      </c>
      <c r="G310" s="10">
        <v>3322</v>
      </c>
      <c r="H310" s="10">
        <v>156483</v>
      </c>
    </row>
    <row r="311" spans="1:8" x14ac:dyDescent="0.55000000000000004">
      <c r="A311" s="10">
        <v>905</v>
      </c>
      <c r="B311" s="10">
        <v>801320</v>
      </c>
      <c r="C311" s="10">
        <v>315237</v>
      </c>
      <c r="D311" s="10">
        <v>2615</v>
      </c>
      <c r="E311" s="10">
        <v>312622</v>
      </c>
      <c r="F311" s="10">
        <v>119327</v>
      </c>
      <c r="G311" s="10">
        <v>5360</v>
      </c>
      <c r="H311" s="10">
        <v>124687</v>
      </c>
    </row>
    <row r="312" spans="1:8" x14ac:dyDescent="0.55000000000000004">
      <c r="A312" s="10">
        <v>396</v>
      </c>
      <c r="B312" s="10">
        <v>468080</v>
      </c>
      <c r="C312" s="10">
        <v>273048</v>
      </c>
      <c r="D312" s="10">
        <v>-1665</v>
      </c>
      <c r="E312" s="10">
        <v>274713</v>
      </c>
      <c r="F312" s="10">
        <v>50405</v>
      </c>
      <c r="G312" s="10">
        <v>202</v>
      </c>
      <c r="H312" s="10">
        <v>50607</v>
      </c>
    </row>
    <row r="313" spans="1:8" x14ac:dyDescent="0.55000000000000004">
      <c r="A313" s="10">
        <v>652</v>
      </c>
      <c r="B313" s="10">
        <v>345013</v>
      </c>
      <c r="C313" s="10">
        <v>125738</v>
      </c>
      <c r="D313" s="10">
        <v>0</v>
      </c>
      <c r="E313" s="10">
        <v>125738</v>
      </c>
      <c r="F313" s="10">
        <v>90665</v>
      </c>
      <c r="G313" s="10">
        <v>0</v>
      </c>
      <c r="H313" s="10">
        <v>90665</v>
      </c>
    </row>
    <row r="314" spans="1:8" x14ac:dyDescent="0.55000000000000004">
      <c r="A314" s="10">
        <v>923</v>
      </c>
      <c r="B314" s="10">
        <v>574073</v>
      </c>
      <c r="C314" s="10">
        <v>156024</v>
      </c>
      <c r="D314" s="10">
        <v>0</v>
      </c>
      <c r="E314" s="10">
        <v>156024</v>
      </c>
      <c r="F314" s="10">
        <v>77445</v>
      </c>
      <c r="G314" s="10">
        <v>0</v>
      </c>
      <c r="H314" s="10">
        <v>77445</v>
      </c>
    </row>
    <row r="315" spans="1:8" x14ac:dyDescent="0.55000000000000004">
      <c r="A315" s="10">
        <v>540</v>
      </c>
      <c r="B315" s="10">
        <v>2020988</v>
      </c>
      <c r="C315" s="10">
        <v>731553.33571583929</v>
      </c>
      <c r="D315" s="10">
        <v>0</v>
      </c>
      <c r="E315" s="10">
        <v>731553.33571583929</v>
      </c>
      <c r="F315" s="10">
        <v>50994.330974538687</v>
      </c>
      <c r="G315" s="10">
        <v>0</v>
      </c>
      <c r="H315" s="10">
        <v>50994.330974538687</v>
      </c>
    </row>
    <row r="316" spans="1:8" x14ac:dyDescent="0.55000000000000004">
      <c r="A316" s="10">
        <v>824</v>
      </c>
      <c r="B316" s="10">
        <v>1201157</v>
      </c>
      <c r="C316" s="10">
        <v>372705</v>
      </c>
      <c r="D316" s="10">
        <v>0</v>
      </c>
      <c r="E316" s="10">
        <v>372705</v>
      </c>
      <c r="F316" s="10">
        <v>166932</v>
      </c>
      <c r="G316" s="10">
        <v>0</v>
      </c>
      <c r="H316" s="10">
        <v>166932</v>
      </c>
    </row>
    <row r="317" spans="1:8" x14ac:dyDescent="0.55000000000000004">
      <c r="A317" s="10">
        <v>173</v>
      </c>
      <c r="B317" s="10">
        <v>823759</v>
      </c>
      <c r="C317" s="10">
        <v>422897</v>
      </c>
      <c r="D317" s="10">
        <v>0</v>
      </c>
      <c r="E317" s="10">
        <v>422897</v>
      </c>
      <c r="F317" s="10">
        <v>193919</v>
      </c>
      <c r="G317" s="10">
        <v>0</v>
      </c>
      <c r="H317" s="10">
        <v>193919</v>
      </c>
    </row>
    <row r="318" spans="1:8" x14ac:dyDescent="0.55000000000000004">
      <c r="A318" s="10">
        <v>507</v>
      </c>
      <c r="B318" s="10">
        <v>408807</v>
      </c>
      <c r="C318" s="10">
        <v>204319</v>
      </c>
      <c r="D318" s="10">
        <v>0</v>
      </c>
      <c r="E318" s="10">
        <v>204319</v>
      </c>
      <c r="F318" s="10">
        <v>102000</v>
      </c>
      <c r="G318" s="10">
        <v>0</v>
      </c>
      <c r="H318" s="10">
        <v>102000</v>
      </c>
    </row>
    <row r="319" spans="1:8" x14ac:dyDescent="0.55000000000000004">
      <c r="A319" s="10">
        <v>784</v>
      </c>
      <c r="B319" s="10">
        <v>411694</v>
      </c>
      <c r="C319" s="10">
        <v>184360</v>
      </c>
      <c r="D319" s="10">
        <v>0</v>
      </c>
      <c r="E319" s="10">
        <v>184360</v>
      </c>
      <c r="F319" s="10">
        <v>66206</v>
      </c>
      <c r="G319" s="10">
        <v>0</v>
      </c>
      <c r="H319" s="10">
        <v>66206</v>
      </c>
    </row>
    <row r="320" spans="1:8" x14ac:dyDescent="0.55000000000000004">
      <c r="A320" s="10">
        <v>227</v>
      </c>
      <c r="B320" s="10">
        <v>320450</v>
      </c>
      <c r="C320" s="10">
        <v>204854</v>
      </c>
      <c r="D320" s="10">
        <v>511</v>
      </c>
      <c r="E320" s="10">
        <v>204343</v>
      </c>
      <c r="F320" s="10">
        <v>18198</v>
      </c>
      <c r="G320" s="10">
        <v>161</v>
      </c>
      <c r="H320" s="10">
        <v>18359</v>
      </c>
    </row>
    <row r="321" spans="1:8" x14ac:dyDescent="0.55000000000000004">
      <c r="A321" s="10">
        <v>464</v>
      </c>
      <c r="B321" s="10">
        <v>629736</v>
      </c>
      <c r="C321" s="10">
        <v>275799</v>
      </c>
      <c r="D321" s="10">
        <v>-1535</v>
      </c>
      <c r="E321" s="10">
        <v>277334</v>
      </c>
      <c r="F321" s="10">
        <v>61766</v>
      </c>
      <c r="G321" s="10">
        <v>-1477</v>
      </c>
      <c r="H321" s="10">
        <v>60289</v>
      </c>
    </row>
    <row r="322" spans="1:8" x14ac:dyDescent="0.55000000000000004">
      <c r="A322" s="10">
        <v>777</v>
      </c>
      <c r="B322" s="10">
        <v>279176</v>
      </c>
      <c r="C322" s="10">
        <v>142798</v>
      </c>
      <c r="D322" s="10">
        <v>-7457</v>
      </c>
      <c r="E322" s="10">
        <v>150255</v>
      </c>
      <c r="F322" s="10">
        <v>62483</v>
      </c>
      <c r="G322" s="10">
        <v>-874</v>
      </c>
      <c r="H322" s="10">
        <v>61609</v>
      </c>
    </row>
    <row r="323" spans="1:8" x14ac:dyDescent="0.55000000000000004">
      <c r="A323" s="10">
        <v>673</v>
      </c>
      <c r="B323" s="10">
        <v>541383</v>
      </c>
      <c r="C323" s="10">
        <v>297383</v>
      </c>
      <c r="D323" s="10">
        <v>-4018</v>
      </c>
      <c r="E323" s="10">
        <v>301401</v>
      </c>
      <c r="F323" s="10">
        <v>82892</v>
      </c>
      <c r="G323" s="10">
        <v>-631</v>
      </c>
      <c r="H323" s="10">
        <v>82261</v>
      </c>
    </row>
    <row r="324" spans="1:8" x14ac:dyDescent="0.55000000000000004">
      <c r="A324" s="10">
        <v>142</v>
      </c>
      <c r="B324" s="10">
        <v>918456</v>
      </c>
      <c r="C324" s="10">
        <v>388759.26192304323</v>
      </c>
      <c r="D324" s="10">
        <v>0</v>
      </c>
      <c r="E324" s="10">
        <v>388759.26192304323</v>
      </c>
      <c r="F324" s="10">
        <v>116734.81800958668</v>
      </c>
      <c r="G324" s="10">
        <v>0</v>
      </c>
      <c r="H324" s="10">
        <v>116734.81800958668</v>
      </c>
    </row>
    <row r="325" spans="1:8" x14ac:dyDescent="0.55000000000000004">
      <c r="A325" s="10">
        <v>438</v>
      </c>
      <c r="B325" s="10">
        <v>636875</v>
      </c>
      <c r="C325" s="10">
        <v>275595</v>
      </c>
      <c r="D325" s="10">
        <v>-7930</v>
      </c>
      <c r="E325" s="10">
        <v>283525</v>
      </c>
      <c r="F325" s="10">
        <v>99615</v>
      </c>
      <c r="G325" s="10">
        <v>-663</v>
      </c>
      <c r="H325" s="10">
        <v>98952</v>
      </c>
    </row>
    <row r="326" spans="1:8" x14ac:dyDescent="0.55000000000000004">
      <c r="A326" s="10">
        <v>638</v>
      </c>
      <c r="B326" s="10">
        <v>1155040</v>
      </c>
      <c r="C326" s="10">
        <v>433224</v>
      </c>
      <c r="D326" s="10">
        <v>0</v>
      </c>
      <c r="E326" s="10">
        <v>433224</v>
      </c>
      <c r="F326" s="10">
        <v>287766</v>
      </c>
      <c r="G326" s="10">
        <v>0</v>
      </c>
      <c r="H326" s="10">
        <v>287766</v>
      </c>
    </row>
    <row r="327" spans="1:8" x14ac:dyDescent="0.55000000000000004">
      <c r="A327" s="10">
        <v>727</v>
      </c>
      <c r="B327" s="10">
        <v>1387839</v>
      </c>
      <c r="C327" s="10">
        <v>410153</v>
      </c>
      <c r="D327" s="10">
        <v>-1024</v>
      </c>
      <c r="E327" s="10">
        <v>411177</v>
      </c>
      <c r="F327" s="10">
        <v>201764</v>
      </c>
      <c r="G327" s="10">
        <v>2790</v>
      </c>
      <c r="H327" s="10">
        <v>204554</v>
      </c>
    </row>
    <row r="328" spans="1:8" x14ac:dyDescent="0.55000000000000004">
      <c r="A328" s="10">
        <v>662</v>
      </c>
      <c r="B328" s="10">
        <v>613444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</row>
    <row r="329" spans="1:8" x14ac:dyDescent="0.55000000000000004">
      <c r="A329" s="10">
        <v>664</v>
      </c>
      <c r="B329" s="10">
        <v>420940</v>
      </c>
      <c r="C329" s="10">
        <v>183269</v>
      </c>
      <c r="D329" s="10">
        <v>6856</v>
      </c>
      <c r="E329" s="10">
        <v>176413</v>
      </c>
      <c r="F329" s="10">
        <v>30458</v>
      </c>
      <c r="G329" s="10">
        <v>961</v>
      </c>
      <c r="H329" s="10">
        <v>31419</v>
      </c>
    </row>
    <row r="330" spans="1:8" x14ac:dyDescent="0.55000000000000004">
      <c r="A330" s="10">
        <v>315</v>
      </c>
      <c r="B330" s="10">
        <v>938995</v>
      </c>
      <c r="C330" s="10">
        <v>583386</v>
      </c>
      <c r="D330" s="10">
        <v>-816</v>
      </c>
      <c r="E330" s="10">
        <v>584202</v>
      </c>
      <c r="F330" s="10">
        <v>211295</v>
      </c>
      <c r="G330" s="10">
        <v>1642</v>
      </c>
      <c r="H330" s="10">
        <v>212937</v>
      </c>
    </row>
    <row r="331" spans="1:8" x14ac:dyDescent="0.55000000000000004">
      <c r="A331" s="10">
        <v>306</v>
      </c>
      <c r="B331" s="10">
        <v>1651524</v>
      </c>
      <c r="C331" s="10">
        <v>599758</v>
      </c>
      <c r="D331" s="10">
        <v>0</v>
      </c>
      <c r="E331" s="10">
        <v>599758</v>
      </c>
      <c r="F331" s="10">
        <v>197706</v>
      </c>
      <c r="G331" s="10">
        <v>0</v>
      </c>
      <c r="H331" s="10">
        <v>197706</v>
      </c>
    </row>
    <row r="332" spans="1:8" x14ac:dyDescent="0.55000000000000004">
      <c r="A332" s="10">
        <v>460</v>
      </c>
      <c r="B332" s="10">
        <v>772028</v>
      </c>
      <c r="C332" s="10">
        <v>218735</v>
      </c>
      <c r="D332" s="10">
        <v>-5914</v>
      </c>
      <c r="E332" s="10">
        <v>224649</v>
      </c>
      <c r="F332" s="10">
        <v>289102</v>
      </c>
      <c r="G332" s="10">
        <v>-12157</v>
      </c>
      <c r="H332" s="10">
        <v>276945</v>
      </c>
    </row>
    <row r="333" spans="1:8" x14ac:dyDescent="0.55000000000000004">
      <c r="A333" s="10">
        <v>704</v>
      </c>
      <c r="B333" s="10">
        <v>439575</v>
      </c>
      <c r="C333" s="10">
        <v>163486</v>
      </c>
      <c r="D333" s="10">
        <v>0</v>
      </c>
      <c r="E333" s="10">
        <v>163486</v>
      </c>
      <c r="F333" s="10">
        <v>22806</v>
      </c>
      <c r="G333" s="10">
        <v>0</v>
      </c>
      <c r="H333" s="10">
        <v>22806</v>
      </c>
    </row>
    <row r="334" spans="1:8" x14ac:dyDescent="0.55000000000000004">
      <c r="A334" s="10">
        <v>900</v>
      </c>
      <c r="B334" s="10">
        <v>720642</v>
      </c>
      <c r="C334" s="10">
        <v>241526</v>
      </c>
      <c r="D334" s="10">
        <v>0</v>
      </c>
      <c r="E334" s="10">
        <v>241526</v>
      </c>
      <c r="F334" s="10">
        <v>103213</v>
      </c>
      <c r="G334" s="10">
        <v>0</v>
      </c>
      <c r="H334" s="10">
        <v>103213</v>
      </c>
    </row>
    <row r="335" spans="1:8" x14ac:dyDescent="0.55000000000000004">
      <c r="A335" s="10">
        <v>674</v>
      </c>
      <c r="B335" s="10">
        <v>236607</v>
      </c>
      <c r="C335" s="10">
        <v>285600</v>
      </c>
      <c r="D335" s="10">
        <v>-634</v>
      </c>
      <c r="E335" s="10">
        <v>286234</v>
      </c>
      <c r="F335" s="10">
        <v>124053</v>
      </c>
      <c r="G335" s="10">
        <v>1224</v>
      </c>
      <c r="H335" s="10">
        <v>125277</v>
      </c>
    </row>
    <row r="336" spans="1:8" x14ac:dyDescent="0.55000000000000004">
      <c r="A336" s="10">
        <v>452</v>
      </c>
      <c r="B336" s="10">
        <v>281046</v>
      </c>
      <c r="C336" s="10">
        <v>147767</v>
      </c>
      <c r="D336" s="10">
        <v>-1796</v>
      </c>
      <c r="E336" s="10">
        <v>149563</v>
      </c>
      <c r="F336" s="10">
        <v>28896</v>
      </c>
      <c r="G336" s="10">
        <v>-971</v>
      </c>
      <c r="H336" s="10">
        <v>27925</v>
      </c>
    </row>
    <row r="337" spans="1:8" x14ac:dyDescent="0.55000000000000004">
      <c r="A337" s="10">
        <v>433</v>
      </c>
      <c r="B337" s="10">
        <v>578590</v>
      </c>
      <c r="C337" s="10">
        <v>25238</v>
      </c>
      <c r="D337" s="10">
        <v>88</v>
      </c>
      <c r="E337" s="10">
        <v>25150</v>
      </c>
      <c r="F337" s="10">
        <v>56290</v>
      </c>
      <c r="G337" s="10">
        <v>0</v>
      </c>
      <c r="H337" s="10">
        <v>56290</v>
      </c>
    </row>
    <row r="338" spans="1:8" x14ac:dyDescent="0.55000000000000004">
      <c r="A338" s="10">
        <v>336</v>
      </c>
      <c r="B338" s="10">
        <v>1089314</v>
      </c>
      <c r="C338" s="10">
        <v>12004</v>
      </c>
      <c r="D338" s="10">
        <v>0</v>
      </c>
      <c r="E338" s="10">
        <v>12004</v>
      </c>
      <c r="F338" s="10">
        <v>99793.490948336897</v>
      </c>
      <c r="G338" s="10">
        <v>0</v>
      </c>
      <c r="H338" s="10">
        <v>99793.490948336897</v>
      </c>
    </row>
    <row r="339" spans="1:8" x14ac:dyDescent="0.55000000000000004">
      <c r="A339" s="10">
        <v>878</v>
      </c>
      <c r="B339" s="10">
        <v>1763801</v>
      </c>
      <c r="C339" s="10">
        <v>352064</v>
      </c>
      <c r="D339" s="10">
        <v>0</v>
      </c>
      <c r="E339" s="10">
        <v>352064</v>
      </c>
      <c r="F339" s="10">
        <v>212758</v>
      </c>
      <c r="G339" s="10">
        <v>0</v>
      </c>
      <c r="H339" s="10">
        <v>212758</v>
      </c>
    </row>
    <row r="340" spans="1:8" x14ac:dyDescent="0.55000000000000004">
      <c r="A340" s="10">
        <v>265</v>
      </c>
      <c r="B340" s="10">
        <v>1763801</v>
      </c>
      <c r="C340" s="10">
        <v>352064</v>
      </c>
      <c r="D340" s="10">
        <v>0</v>
      </c>
      <c r="E340" s="10">
        <v>352064</v>
      </c>
      <c r="F340" s="10">
        <v>212758</v>
      </c>
      <c r="G340" s="10">
        <v>0</v>
      </c>
      <c r="H340" s="10">
        <v>212758</v>
      </c>
    </row>
    <row r="341" spans="1:8" x14ac:dyDescent="0.55000000000000004">
      <c r="A341" s="10">
        <v>292</v>
      </c>
      <c r="B341" s="10">
        <v>1140844</v>
      </c>
      <c r="C341" s="10">
        <v>398967</v>
      </c>
      <c r="D341" s="10">
        <v>0</v>
      </c>
      <c r="E341" s="10">
        <v>398967</v>
      </c>
      <c r="F341" s="10">
        <v>147763</v>
      </c>
      <c r="G341" s="10">
        <v>0</v>
      </c>
      <c r="H341" s="10">
        <v>147763</v>
      </c>
    </row>
    <row r="342" spans="1:8" x14ac:dyDescent="0.55000000000000004">
      <c r="A342" s="10">
        <v>690</v>
      </c>
      <c r="B342" s="10">
        <v>1266269</v>
      </c>
      <c r="C342" s="10">
        <v>306931</v>
      </c>
      <c r="E342" s="10">
        <v>306931</v>
      </c>
      <c r="F342" s="10">
        <v>0</v>
      </c>
      <c r="H342" s="10">
        <v>0</v>
      </c>
    </row>
    <row r="354" spans="2:7" x14ac:dyDescent="0.55000000000000004">
      <c r="B354" s="10">
        <v>348592284</v>
      </c>
      <c r="C354" s="10">
        <v>108403453.16063727</v>
      </c>
      <c r="F354" s="10">
        <v>42411287.730148308</v>
      </c>
    </row>
    <row r="355" spans="2:7" x14ac:dyDescent="0.55000000000000004">
      <c r="B355" s="10">
        <v>0</v>
      </c>
    </row>
    <row r="356" spans="2:7" x14ac:dyDescent="0.55000000000000004">
      <c r="B356" s="10">
        <v>348592284</v>
      </c>
    </row>
    <row r="357" spans="2:7" x14ac:dyDescent="0.55000000000000004">
      <c r="B357" s="10">
        <v>0</v>
      </c>
    </row>
    <row r="358" spans="2:7" x14ac:dyDescent="0.55000000000000004">
      <c r="B358" s="10">
        <v>0</v>
      </c>
    </row>
    <row r="367" spans="2:7" x14ac:dyDescent="0.55000000000000004">
      <c r="D367" s="10">
        <v>-189</v>
      </c>
      <c r="G367" s="10">
        <v>0</v>
      </c>
    </row>
    <row r="379" spans="4:7" x14ac:dyDescent="0.55000000000000004">
      <c r="D379" s="10">
        <v>-103263</v>
      </c>
      <c r="G379" s="10">
        <v>-74585</v>
      </c>
    </row>
    <row r="381" spans="4:7" x14ac:dyDescent="0.55000000000000004">
      <c r="D381" s="10">
        <v>-103263</v>
      </c>
      <c r="G381" s="10">
        <v>-74585</v>
      </c>
    </row>
    <row r="382" spans="4:7" x14ac:dyDescent="0.55000000000000004">
      <c r="D382" s="10">
        <v>-103263</v>
      </c>
      <c r="G382" s="10">
        <v>-74585</v>
      </c>
    </row>
    <row r="383" spans="4:7" x14ac:dyDescent="0.55000000000000004">
      <c r="D383" s="10">
        <v>0</v>
      </c>
      <c r="G383" s="10">
        <v>0</v>
      </c>
    </row>
    <row r="386" spans="4:7" x14ac:dyDescent="0.55000000000000004">
      <c r="D386" s="10">
        <v>-103263</v>
      </c>
      <c r="G386" s="10">
        <v>-74585</v>
      </c>
    </row>
    <row r="387" spans="4:7" x14ac:dyDescent="0.55000000000000004">
      <c r="D387" s="10">
        <v>0</v>
      </c>
      <c r="G387" s="10">
        <v>0</v>
      </c>
    </row>
    <row r="388" spans="4:7" x14ac:dyDescent="0.55000000000000004">
      <c r="D388" s="10">
        <v>0</v>
      </c>
      <c r="G388" s="10">
        <v>0</v>
      </c>
    </row>
    <row r="389" spans="4:7" x14ac:dyDescent="0.55000000000000004">
      <c r="D389" s="10" t="s">
        <v>233</v>
      </c>
      <c r="G389" s="10" t="s">
        <v>234</v>
      </c>
    </row>
    <row r="390" spans="4:7" x14ac:dyDescent="0.55000000000000004">
      <c r="D390" s="10">
        <v>-103263</v>
      </c>
      <c r="G390" s="10">
        <v>-74585</v>
      </c>
    </row>
    <row r="391" spans="4:7" x14ac:dyDescent="0.55000000000000004">
      <c r="D391" s="10">
        <v>0</v>
      </c>
      <c r="G391" s="10">
        <v>0</v>
      </c>
    </row>
  </sheetData>
  <sheetProtection algorithmName="SHA-512" hashValue="FO2WV7WQcGowAW8S267HhezRRAhWYwI2t/1AClJHAi9yhPQ7b+UKpD9UAirKSTNlC9hkAhFovpAydJfzz8XwfA==" saltValue="WzerMcxLyEl45REUh0FgRg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15B9C-F994-49A7-9FBA-31B9232ED0C8}">
  <dimension ref="A1:AE103"/>
  <sheetViews>
    <sheetView topLeftCell="F1" workbookViewId="0">
      <selection activeCell="Y2" sqref="Y2"/>
    </sheetView>
  </sheetViews>
  <sheetFormatPr defaultColWidth="9.15625" defaultRowHeight="14.4" x14ac:dyDescent="0.55000000000000004"/>
  <cols>
    <col min="1" max="1" width="12.68359375" style="26" customWidth="1"/>
    <col min="2" max="2" width="11" style="26" customWidth="1"/>
    <col min="3" max="3" width="11.83984375" style="26" customWidth="1"/>
    <col min="4" max="5" width="12" style="26" customWidth="1"/>
    <col min="6" max="6" width="10.26171875" style="26" customWidth="1"/>
    <col min="7" max="7" width="12.41796875" style="28" bestFit="1" customWidth="1"/>
    <col min="8" max="8" width="14.26171875" style="28" bestFit="1" customWidth="1"/>
    <col min="9" max="9" width="10" style="26" customWidth="1"/>
    <col min="10" max="12" width="9.15625" style="29"/>
    <col min="13" max="13" width="10.578125" style="29" bestFit="1" customWidth="1"/>
    <col min="14" max="14" width="9.578125" style="26" bestFit="1" customWidth="1"/>
    <col min="15" max="18" width="9.15625" style="26"/>
    <col min="19" max="19" width="14.26171875" style="28" bestFit="1" customWidth="1"/>
    <col min="20" max="20" width="14.26171875" style="28" customWidth="1"/>
    <col min="21" max="24" width="11.15625" style="30" bestFit="1" customWidth="1"/>
    <col min="25" max="16384" width="9.15625" style="26"/>
  </cols>
  <sheetData>
    <row r="1" spans="1:31" s="21" customFormat="1" ht="86.4" x14ac:dyDescent="0.55000000000000004">
      <c r="A1" s="21" t="s">
        <v>13</v>
      </c>
      <c r="B1" s="21" t="s">
        <v>54</v>
      </c>
      <c r="C1" s="21" t="s">
        <v>55</v>
      </c>
      <c r="D1" s="21" t="s">
        <v>56</v>
      </c>
      <c r="E1" s="21" t="s">
        <v>57</v>
      </c>
      <c r="F1" s="22" t="s">
        <v>58</v>
      </c>
      <c r="G1" s="23" t="s">
        <v>59</v>
      </c>
      <c r="H1" s="23" t="s">
        <v>60</v>
      </c>
      <c r="I1" s="21" t="s">
        <v>61</v>
      </c>
      <c r="J1" s="24" t="s">
        <v>62</v>
      </c>
      <c r="K1" s="24" t="s">
        <v>63</v>
      </c>
      <c r="L1" s="24" t="s">
        <v>64</v>
      </c>
      <c r="M1" s="24" t="s">
        <v>65</v>
      </c>
      <c r="N1" s="21" t="s">
        <v>66</v>
      </c>
      <c r="O1" s="21" t="s">
        <v>67</v>
      </c>
      <c r="P1" s="21" t="s">
        <v>68</v>
      </c>
      <c r="Q1" s="21" t="s">
        <v>69</v>
      </c>
      <c r="R1" s="21" t="s">
        <v>70</v>
      </c>
      <c r="S1" s="23" t="s">
        <v>71</v>
      </c>
      <c r="T1" s="23" t="s">
        <v>72</v>
      </c>
      <c r="U1" s="25" t="s">
        <v>73</v>
      </c>
      <c r="V1" s="25" t="s">
        <v>74</v>
      </c>
      <c r="W1" s="25" t="s">
        <v>75</v>
      </c>
      <c r="X1" s="25" t="s">
        <v>76</v>
      </c>
      <c r="Y1" s="21" t="s">
        <v>77</v>
      </c>
      <c r="AC1" s="21" t="s">
        <v>78</v>
      </c>
      <c r="AD1" s="22">
        <f>+Summary!$E$2</f>
        <v>25</v>
      </c>
    </row>
    <row r="2" spans="1:31" x14ac:dyDescent="0.55000000000000004">
      <c r="A2" s="26">
        <v>114</v>
      </c>
      <c r="B2" s="26" t="s">
        <v>54</v>
      </c>
      <c r="C2" s="26">
        <f>VLOOKUP($A2,'SAS Data'!$1:$1048576,MATCH(C$1,'SAS Data'!$3:$3,0),FALSE)</f>
        <v>8</v>
      </c>
      <c r="D2" s="26">
        <f>VLOOKUP($A2,'SAS Data'!$1:$1048576,MATCH(D$1,'SAS Data'!$3:$3,0),FALSE)</f>
        <v>2</v>
      </c>
      <c r="E2" s="26">
        <f t="shared" ref="E2:E33" si="0">SUM(C2:D2)</f>
        <v>10</v>
      </c>
      <c r="F2" s="27">
        <f>VLOOKUP($A2,'SAS Data'!$1:$1048576,MATCH(F$1,'SAS Data'!$3:$3,0),FALSE)</f>
        <v>26.871508844953176</v>
      </c>
      <c r="G2" s="28">
        <f>VLOOKUP($A2,'SAS Data'!$1:$1048576,MATCH(G$1,'SAS Data'!$3:$3,0),FALSE)</f>
        <v>24025</v>
      </c>
      <c r="H2" s="28">
        <f>+CNA_Sample[[#This Row],[Cna Cph]]*CNA_Sample[[#This Row],[Cna Hrsn]]</f>
        <v>645588.00000000012</v>
      </c>
      <c r="I2" s="26">
        <v>13</v>
      </c>
      <c r="J2" s="29">
        <v>17.714975440173923</v>
      </c>
      <c r="K2" s="29">
        <v>23.870080780662981</v>
      </c>
      <c r="L2" s="29">
        <v>19.339986987229416</v>
      </c>
      <c r="M2" s="29">
        <v>19.728219333976234</v>
      </c>
      <c r="N2" s="26">
        <f>COUNTIFS('CNA Detail'!$A:$A,$A2,'CNA Detail'!$C:$C,"&lt;"&amp;L2)</f>
        <v>6</v>
      </c>
      <c r="O2" s="26">
        <f>COUNTIFS('CNA Detail'!$A:$A,$A2,'CNA Detail'!$C:$C,"&lt;"&amp;M2)</f>
        <v>7</v>
      </c>
      <c r="P2" s="26">
        <f>COUNTIFS('CNA Detail'!$A:$A,$A2,'CNA Detail'!$C:$C,"&lt;"&amp;$AD$1)</f>
        <v>13</v>
      </c>
      <c r="Q2" s="26">
        <f>COUNTIFS('CNA Detail'!$A:$A,$A2,'CNA Detail'!$C:$C,"&lt;"&amp;$AD$2)</f>
        <v>10</v>
      </c>
      <c r="R2" s="26">
        <f>COUNTIFS('CNA Detail'!$A:$A,$A2,'CNA Detail'!$C:$C,"&lt;"&amp;$AD$3)</f>
        <v>10</v>
      </c>
      <c r="S2" s="28">
        <f>+CNA_Sample[[#This Row],[CNA median]]*CNA_Sample[[#This Row],[Cna Hrsn]]</f>
        <v>464643.18736818671</v>
      </c>
      <c r="T2" s="28">
        <f>+CNA_Sample[[#This Row],[CNA average]]*CNA_Sample[[#This Row],[Cna Hrsn]]</f>
        <v>473970.46949877904</v>
      </c>
      <c r="U2" s="30">
        <f>CNA_Sample[[#This Row],[Est median wage cost ]]/CNA_Sample[[#This Row],[Cost]]</f>
        <v>0.71972091700618135</v>
      </c>
      <c r="V2" s="30">
        <f>CNA_Sample[[#This Row],[Est average wage cost]]/CNA_Sample[[#This Row],[Cost]]</f>
        <v>0.73416864857893727</v>
      </c>
      <c r="W2" s="30">
        <f>+CNA_Sample[[#This Row],[CNA min.]]/CNA_Sample[[#This Row],[CNA median]]</f>
        <v>0.91597659563429279</v>
      </c>
      <c r="X2" s="30">
        <f>+CNA_Sample[[#This Row],[CNA max]]/CNA_Sample[[#This Row],[CNA median]]</f>
        <v>1.234234583323395</v>
      </c>
      <c r="Y2" s="26">
        <f>VLOOKUP(A2,Summary!$1:$1048576,2,FALSE)</f>
        <v>3</v>
      </c>
      <c r="AC2" s="31" t="s">
        <v>79</v>
      </c>
      <c r="AD2" s="27">
        <f>+CNA_Sample[[#Totals],[Est median wage cost ]]/CNA_Sample[[#Totals],[Cna Hrsn]]</f>
        <v>20.563621784874616</v>
      </c>
      <c r="AE2" s="26" t="s">
        <v>80</v>
      </c>
    </row>
    <row r="3" spans="1:31" x14ac:dyDescent="0.55000000000000004">
      <c r="A3" s="26">
        <v>142</v>
      </c>
      <c r="B3" s="26" t="s">
        <v>54</v>
      </c>
      <c r="C3" s="26">
        <f>VLOOKUP($A3,'SAS Data'!$1:$1048576,MATCH(C$1,'SAS Data'!$3:$3,0),FALSE)</f>
        <v>6</v>
      </c>
      <c r="D3" s="26">
        <f>VLOOKUP($A3,'SAS Data'!$1:$1048576,MATCH(D$1,'SAS Data'!$3:$3,0),FALSE)</f>
        <v>12</v>
      </c>
      <c r="E3" s="26">
        <f t="shared" si="0"/>
        <v>18</v>
      </c>
      <c r="F3" s="27">
        <f>VLOOKUP($A3,'SAS Data'!$1:$1048576,MATCH(F$1,'SAS Data'!$3:$3,0),FALSE)</f>
        <v>25.556680950525905</v>
      </c>
      <c r="G3" s="28">
        <f>VLOOKUP($A3,'SAS Data'!$1:$1048576,MATCH(G$1,'SAS Data'!$3:$3,0),FALSE)</f>
        <v>35938</v>
      </c>
      <c r="H3" s="28">
        <f>+CNA_Sample[[#This Row],[Cna Cph]]*CNA_Sample[[#This Row],[Cna Hrsn]]</f>
        <v>918456</v>
      </c>
      <c r="I3" s="26">
        <v>17</v>
      </c>
      <c r="J3" s="29">
        <v>17.220600000000001</v>
      </c>
      <c r="K3" s="29">
        <v>23.6496</v>
      </c>
      <c r="L3" s="29">
        <v>19.957599999999999</v>
      </c>
      <c r="M3" s="29">
        <v>20.349999999999998</v>
      </c>
      <c r="N3" s="26">
        <f>COUNTIFS('CNA Detail'!$A:$A,$A3,'CNA Detail'!$C:$C,"&lt;"&amp;L3)</f>
        <v>8</v>
      </c>
      <c r="O3" s="26">
        <f>COUNTIFS('CNA Detail'!$A:$A,$A3,'CNA Detail'!$C:$C,"&lt;"&amp;M3)</f>
        <v>10</v>
      </c>
      <c r="P3" s="26">
        <f>COUNTIFS('CNA Detail'!$A:$A,$A3,'CNA Detail'!$C:$C,"&lt;"&amp;$AD$1)</f>
        <v>17</v>
      </c>
      <c r="Q3" s="26">
        <f>COUNTIFS('CNA Detail'!$A:$A,$A3,'CNA Detail'!$C:$C,"&lt;"&amp;$AD$2)</f>
        <v>13</v>
      </c>
      <c r="R3" s="26">
        <f>COUNTIFS('CNA Detail'!$A:$A,$A3,'CNA Detail'!$C:$C,"&lt;"&amp;$AD$3)</f>
        <v>13</v>
      </c>
      <c r="S3" s="28">
        <f>+CNA_Sample[[#This Row],[CNA median]]*CNA_Sample[[#This Row],[Cna Hrsn]]</f>
        <v>717236.22879999992</v>
      </c>
      <c r="T3" s="28">
        <f>+CNA_Sample[[#This Row],[CNA average]]*CNA_Sample[[#This Row],[Cna Hrsn]]</f>
        <v>731338.29999999993</v>
      </c>
      <c r="U3" s="30">
        <f>CNA_Sample[[#This Row],[Est median wage cost ]]/CNA_Sample[[#This Row],[Cost]]</f>
        <v>0.78091517590390824</v>
      </c>
      <c r="V3" s="30">
        <f>CNA_Sample[[#This Row],[Est average wage cost]]/CNA_Sample[[#This Row],[Cost]]</f>
        <v>0.79626928236083161</v>
      </c>
      <c r="W3" s="30">
        <f>+CNA_Sample[[#This Row],[CNA min.]]/CNA_Sample[[#This Row],[CNA median]]</f>
        <v>0.86285926163466553</v>
      </c>
      <c r="X3" s="30">
        <f>+CNA_Sample[[#This Row],[CNA max]]/CNA_Sample[[#This Row],[CNA median]]</f>
        <v>1.1849921834288693</v>
      </c>
      <c r="Y3" s="26">
        <f>VLOOKUP(A3,Summary!$1:$1048576,2,FALSE)</f>
        <v>2</v>
      </c>
      <c r="AC3" s="31" t="s">
        <v>81</v>
      </c>
      <c r="AD3" s="27">
        <f>+CNA_Sample[[#Totals],[Est average wage cost]]/CNA_Sample[[#Totals],[Cna Hrsn]]</f>
        <v>20.774301301928723</v>
      </c>
      <c r="AE3" s="26" t="s">
        <v>82</v>
      </c>
    </row>
    <row r="4" spans="1:31" x14ac:dyDescent="0.55000000000000004">
      <c r="A4" s="26">
        <v>145</v>
      </c>
      <c r="B4" s="26" t="s">
        <v>54</v>
      </c>
      <c r="C4" s="26">
        <f>VLOOKUP($A4,'SAS Data'!$1:$1048576,MATCH(C$1,'SAS Data'!$3:$3,0),FALSE)</f>
        <v>43</v>
      </c>
      <c r="D4" s="26">
        <f>VLOOKUP($A4,'SAS Data'!$1:$1048576,MATCH(D$1,'SAS Data'!$3:$3,0),FALSE)</f>
        <v>12</v>
      </c>
      <c r="E4" s="26">
        <f t="shared" si="0"/>
        <v>55</v>
      </c>
      <c r="F4" s="27">
        <f>VLOOKUP($A4,'SAS Data'!$1:$1048576,MATCH(F$1,'SAS Data'!$3:$3,0),FALSE)</f>
        <v>26.224926686217007</v>
      </c>
      <c r="G4" s="28">
        <f>VLOOKUP($A4,'SAS Data'!$1:$1048576,MATCH(G$1,'SAS Data'!$3:$3,0),FALSE)</f>
        <v>81840</v>
      </c>
      <c r="H4" s="28">
        <f>+CNA_Sample[[#This Row],[Cna Cph]]*CNA_Sample[[#This Row],[Cna Hrsn]]</f>
        <v>2146248</v>
      </c>
      <c r="I4" s="26">
        <v>61</v>
      </c>
      <c r="J4" s="29">
        <v>19</v>
      </c>
      <c r="K4" s="29">
        <v>29.67</v>
      </c>
      <c r="L4" s="29">
        <v>25.14</v>
      </c>
      <c r="M4" s="29">
        <v>25.675163934426244</v>
      </c>
      <c r="N4" s="26">
        <f>COUNTIFS('CNA Detail'!$A:$A,$A4,'CNA Detail'!$C:$C,"&lt;"&amp;L4)</f>
        <v>29</v>
      </c>
      <c r="O4" s="26">
        <f>COUNTIFS('CNA Detail'!$A:$A,$A4,'CNA Detail'!$C:$C,"&lt;"&amp;M4)</f>
        <v>37</v>
      </c>
      <c r="P4" s="26">
        <f>COUNTIFS('CNA Detail'!$A:$A,$A4,'CNA Detail'!$C:$C,"&lt;"&amp;$AD$1)</f>
        <v>13</v>
      </c>
      <c r="Q4" s="26">
        <f>COUNTIFS('CNA Detail'!$A:$A,$A4,'CNA Detail'!$C:$C,"&lt;"&amp;$AD$2)</f>
        <v>3</v>
      </c>
      <c r="R4" s="26">
        <f>COUNTIFS('CNA Detail'!$A:$A,$A4,'CNA Detail'!$C:$C,"&lt;"&amp;$AD$3)</f>
        <v>3</v>
      </c>
      <c r="S4" s="28">
        <f>+CNA_Sample[[#This Row],[CNA median]]*CNA_Sample[[#This Row],[Cna Hrsn]]</f>
        <v>2057457.6</v>
      </c>
      <c r="T4" s="28">
        <f>+CNA_Sample[[#This Row],[CNA average]]*CNA_Sample[[#This Row],[Cna Hrsn]]</f>
        <v>2101255.4163934439</v>
      </c>
      <c r="U4" s="30">
        <f>CNA_Sample[[#This Row],[Est median wage cost ]]/CNA_Sample[[#This Row],[Cost]]</f>
        <v>0.95862994397665136</v>
      </c>
      <c r="V4" s="30">
        <f>CNA_Sample[[#This Row],[Est average wage cost]]/CNA_Sample[[#This Row],[Cost]]</f>
        <v>0.97903663341489144</v>
      </c>
      <c r="W4" s="30">
        <f>+CNA_Sample[[#This Row],[CNA min.]]/CNA_Sample[[#This Row],[CNA median]]</f>
        <v>0.75576770087509948</v>
      </c>
      <c r="X4" s="30">
        <f>+CNA_Sample[[#This Row],[CNA max]]/CNA_Sample[[#This Row],[CNA median]]</f>
        <v>1.1801909307875895</v>
      </c>
      <c r="Y4" s="26">
        <f>VLOOKUP(A4,Summary!$1:$1048576,2,FALSE)</f>
        <v>3</v>
      </c>
      <c r="AC4" s="31"/>
    </row>
    <row r="5" spans="1:31" x14ac:dyDescent="0.55000000000000004">
      <c r="A5" s="26">
        <v>156</v>
      </c>
      <c r="B5" s="26" t="s">
        <v>54</v>
      </c>
      <c r="C5" s="26">
        <f>VLOOKUP($A5,'SAS Data'!$1:$1048576,MATCH(C$1,'SAS Data'!$3:$3,0),FALSE)</f>
        <v>12</v>
      </c>
      <c r="D5" s="26">
        <f>VLOOKUP($A5,'SAS Data'!$1:$1048576,MATCH(D$1,'SAS Data'!$3:$3,0),FALSE)</f>
        <v>3</v>
      </c>
      <c r="E5" s="26">
        <f t="shared" si="0"/>
        <v>15</v>
      </c>
      <c r="F5" s="27">
        <f>VLOOKUP($A5,'SAS Data'!$1:$1048576,MATCH(F$1,'SAS Data'!$3:$3,0),FALSE)</f>
        <v>27.699638504110816</v>
      </c>
      <c r="G5" s="28">
        <f>VLOOKUP($A5,'SAS Data'!$1:$1048576,MATCH(G$1,'SAS Data'!$3:$3,0),FALSE)</f>
        <v>31259</v>
      </c>
      <c r="H5" s="28">
        <f>+CNA_Sample[[#This Row],[Cna Cph]]*CNA_Sample[[#This Row],[Cna Hrsn]]</f>
        <v>865863</v>
      </c>
      <c r="I5" s="26">
        <v>29</v>
      </c>
      <c r="J5" s="29">
        <v>18.079999999999998</v>
      </c>
      <c r="K5" s="29">
        <v>26.81</v>
      </c>
      <c r="L5" s="29">
        <v>20.6</v>
      </c>
      <c r="M5" s="29">
        <v>21.407586206896553</v>
      </c>
      <c r="N5" s="26">
        <f>COUNTIFS('CNA Detail'!$A:$A,$A5,'CNA Detail'!$C:$C,"&lt;"&amp;L5)</f>
        <v>14</v>
      </c>
      <c r="O5" s="26">
        <f>COUNTIFS('CNA Detail'!$A:$A,$A5,'CNA Detail'!$C:$C,"&lt;"&amp;M5)</f>
        <v>16</v>
      </c>
      <c r="P5" s="26">
        <f>COUNTIFS('CNA Detail'!$A:$A,$A5,'CNA Detail'!$C:$C,"&lt;"&amp;$AD$1)</f>
        <v>24</v>
      </c>
      <c r="Q5" s="26">
        <f>COUNTIFS('CNA Detail'!$A:$A,$A5,'CNA Detail'!$C:$C,"&lt;"&amp;$AD$2)</f>
        <v>14</v>
      </c>
      <c r="R5" s="26">
        <f>COUNTIFS('CNA Detail'!$A:$A,$A5,'CNA Detail'!$C:$C,"&lt;"&amp;$AD$3)</f>
        <v>15</v>
      </c>
      <c r="S5" s="28">
        <f>+CNA_Sample[[#This Row],[CNA median]]*CNA_Sample[[#This Row],[Cna Hrsn]]</f>
        <v>643935.4</v>
      </c>
      <c r="T5" s="28">
        <f>+CNA_Sample[[#This Row],[CNA average]]*CNA_Sample[[#This Row],[Cna Hrsn]]</f>
        <v>669179.73724137933</v>
      </c>
      <c r="U5" s="30">
        <f>CNA_Sample[[#This Row],[Est median wage cost ]]/CNA_Sample[[#This Row],[Cost]]</f>
        <v>0.74369201594247591</v>
      </c>
      <c r="V5" s="30">
        <f>CNA_Sample[[#This Row],[Est average wage cost]]/CNA_Sample[[#This Row],[Cost]]</f>
        <v>0.77284713313928344</v>
      </c>
      <c r="W5" s="30">
        <f>+CNA_Sample[[#This Row],[CNA min.]]/CNA_Sample[[#This Row],[CNA median]]</f>
        <v>0.87766990291262126</v>
      </c>
      <c r="X5" s="30">
        <f>+CNA_Sample[[#This Row],[CNA max]]/CNA_Sample[[#This Row],[CNA median]]</f>
        <v>1.3014563106796115</v>
      </c>
      <c r="Y5" s="26">
        <f>VLOOKUP(A5,Summary!$1:$1048576,2,FALSE)</f>
        <v>2</v>
      </c>
    </row>
    <row r="6" spans="1:31" x14ac:dyDescent="0.55000000000000004">
      <c r="A6" s="26">
        <v>164</v>
      </c>
      <c r="B6" s="26" t="s">
        <v>54</v>
      </c>
      <c r="C6" s="26">
        <f>VLOOKUP($A6,'SAS Data'!$1:$1048576,MATCH(C$1,'SAS Data'!$3:$3,0),FALSE)</f>
        <v>15</v>
      </c>
      <c r="D6" s="26">
        <f>VLOOKUP($A6,'SAS Data'!$1:$1048576,MATCH(D$1,'SAS Data'!$3:$3,0),FALSE)</f>
        <v>24</v>
      </c>
      <c r="E6" s="26">
        <f t="shared" si="0"/>
        <v>39</v>
      </c>
      <c r="F6" s="27">
        <f>VLOOKUP($A6,'SAS Data'!$1:$1048576,MATCH(F$1,'SAS Data'!$3:$3,0),FALSE)</f>
        <v>24.664960151044784</v>
      </c>
      <c r="G6" s="28">
        <f>VLOOKUP($A6,'SAS Data'!$1:$1048576,MATCH(G$1,'SAS Data'!$3:$3,0),FALSE)</f>
        <v>55083</v>
      </c>
      <c r="H6" s="28">
        <f>+CNA_Sample[[#This Row],[Cna Cph]]*CNA_Sample[[#This Row],[Cna Hrsn]]</f>
        <v>1358619.9999999998</v>
      </c>
      <c r="I6" s="26">
        <v>48</v>
      </c>
      <c r="J6" s="29">
        <v>18</v>
      </c>
      <c r="K6" s="29">
        <v>25.71</v>
      </c>
      <c r="L6" s="29">
        <v>20.475000000000001</v>
      </c>
      <c r="M6" s="29">
        <v>20.881875000000015</v>
      </c>
      <c r="N6" s="26">
        <f>COUNTIFS('CNA Detail'!$A:$A,$A6,'CNA Detail'!$C:$C,"&lt;"&amp;L6)</f>
        <v>24</v>
      </c>
      <c r="O6" s="26">
        <f>COUNTIFS('CNA Detail'!$A:$A,$A6,'CNA Detail'!$C:$C,"&lt;"&amp;M6)</f>
        <v>28</v>
      </c>
      <c r="P6" s="26">
        <f>COUNTIFS('CNA Detail'!$A:$A,$A6,'CNA Detail'!$C:$C,"&lt;"&amp;$AD$1)</f>
        <v>47</v>
      </c>
      <c r="Q6" s="26">
        <f>COUNTIFS('CNA Detail'!$A:$A,$A6,'CNA Detail'!$C:$C,"&lt;"&amp;$AD$2)</f>
        <v>24</v>
      </c>
      <c r="R6" s="26">
        <f>COUNTIFS('CNA Detail'!$A:$A,$A6,'CNA Detail'!$C:$C,"&lt;"&amp;$AD$3)</f>
        <v>28</v>
      </c>
      <c r="S6" s="28">
        <f>+CNA_Sample[[#This Row],[CNA median]]*CNA_Sample[[#This Row],[Cna Hrsn]]</f>
        <v>1127824.425</v>
      </c>
      <c r="T6" s="28">
        <f>+CNA_Sample[[#This Row],[CNA average]]*CNA_Sample[[#This Row],[Cna Hrsn]]</f>
        <v>1150236.3206250009</v>
      </c>
      <c r="U6" s="30">
        <f>CNA_Sample[[#This Row],[Est median wage cost ]]/CNA_Sample[[#This Row],[Cost]]</f>
        <v>0.83012499815989771</v>
      </c>
      <c r="V6" s="30">
        <f>CNA_Sample[[#This Row],[Est average wage cost]]/CNA_Sample[[#This Row],[Cost]]</f>
        <v>0.84662107184128088</v>
      </c>
      <c r="W6" s="30">
        <f>+CNA_Sample[[#This Row],[CNA min.]]/CNA_Sample[[#This Row],[CNA median]]</f>
        <v>0.87912087912087911</v>
      </c>
      <c r="X6" s="30">
        <f>+CNA_Sample[[#This Row],[CNA max]]/CNA_Sample[[#This Row],[CNA median]]</f>
        <v>1.2556776556776557</v>
      </c>
      <c r="Y6" s="26">
        <f>VLOOKUP(A6,Summary!$1:$1048576,2,FALSE)</f>
        <v>1</v>
      </c>
    </row>
    <row r="7" spans="1:31" x14ac:dyDescent="0.55000000000000004">
      <c r="A7" s="26">
        <v>173</v>
      </c>
      <c r="B7" s="26" t="s">
        <v>54</v>
      </c>
      <c r="C7" s="26">
        <f>VLOOKUP($A7,'SAS Data'!$1:$1048576,MATCH(C$1,'SAS Data'!$3:$3,0),FALSE)</f>
        <v>8</v>
      </c>
      <c r="D7" s="26">
        <f>VLOOKUP($A7,'SAS Data'!$1:$1048576,MATCH(D$1,'SAS Data'!$3:$3,0),FALSE)</f>
        <v>25</v>
      </c>
      <c r="E7" s="26">
        <f t="shared" si="0"/>
        <v>33</v>
      </c>
      <c r="F7" s="27">
        <f>VLOOKUP($A7,'SAS Data'!$1:$1048576,MATCH(F$1,'SAS Data'!$3:$3,0),FALSE)</f>
        <v>20.621814449506832</v>
      </c>
      <c r="G7" s="28">
        <f>VLOOKUP($A7,'SAS Data'!$1:$1048576,MATCH(G$1,'SAS Data'!$3:$3,0),FALSE)</f>
        <v>39946</v>
      </c>
      <c r="H7" s="28">
        <f>+CNA_Sample[[#This Row],[Cna Cph]]*CNA_Sample[[#This Row],[Cna Hrsn]]</f>
        <v>823758.99999999988</v>
      </c>
      <c r="I7" s="26">
        <v>39</v>
      </c>
      <c r="J7" s="29">
        <v>16.899999999999999</v>
      </c>
      <c r="K7" s="29">
        <v>22.2</v>
      </c>
      <c r="L7" s="29">
        <v>19.100000000000001</v>
      </c>
      <c r="M7" s="29">
        <v>19.071794871794875</v>
      </c>
      <c r="N7" s="26">
        <f>COUNTIFS('CNA Detail'!$A:$A,$A7,'CNA Detail'!$C:$C,"&lt;"&amp;L7)</f>
        <v>17</v>
      </c>
      <c r="O7" s="26">
        <f>COUNTIFS('CNA Detail'!$A:$A,$A7,'CNA Detail'!$C:$C,"&lt;"&amp;M7)</f>
        <v>17</v>
      </c>
      <c r="P7" s="26">
        <f>COUNTIFS('CNA Detail'!$A:$A,$A7,'CNA Detail'!$C:$C,"&lt;"&amp;$AD$1)</f>
        <v>39</v>
      </c>
      <c r="Q7" s="26">
        <f>COUNTIFS('CNA Detail'!$A:$A,$A7,'CNA Detail'!$C:$C,"&lt;"&amp;$AD$2)</f>
        <v>36</v>
      </c>
      <c r="R7" s="26">
        <f>COUNTIFS('CNA Detail'!$A:$A,$A7,'CNA Detail'!$C:$C,"&lt;"&amp;$AD$3)</f>
        <v>37</v>
      </c>
      <c r="S7" s="28">
        <f>+CNA_Sample[[#This Row],[CNA median]]*CNA_Sample[[#This Row],[Cna Hrsn]]</f>
        <v>762968.60000000009</v>
      </c>
      <c r="T7" s="28">
        <f>+CNA_Sample[[#This Row],[CNA average]]*CNA_Sample[[#This Row],[Cna Hrsn]]</f>
        <v>761841.91794871807</v>
      </c>
      <c r="U7" s="30">
        <f>CNA_Sample[[#This Row],[Est median wage cost ]]/CNA_Sample[[#This Row],[Cost]]</f>
        <v>0.92620365907990099</v>
      </c>
      <c r="V7" s="30">
        <f>CNA_Sample[[#This Row],[Est average wage cost]]/CNA_Sample[[#This Row],[Cost]]</f>
        <v>0.92483592646480117</v>
      </c>
      <c r="W7" s="30">
        <f>+CNA_Sample[[#This Row],[CNA min.]]/CNA_Sample[[#This Row],[CNA median]]</f>
        <v>0.88481675392670145</v>
      </c>
      <c r="X7" s="30">
        <f>+CNA_Sample[[#This Row],[CNA max]]/CNA_Sample[[#This Row],[CNA median]]</f>
        <v>1.1623036649214658</v>
      </c>
      <c r="Y7" s="26">
        <f>VLOOKUP(A7,Summary!$1:$1048576,2,FALSE)</f>
        <v>1</v>
      </c>
      <c r="AC7" s="31" t="s">
        <v>83</v>
      </c>
      <c r="AD7" s="30">
        <f>+CNA_Sample[[#Totals],[Below median]]/CNA_Sample[[#Totals],[CNA count Per Data Sample]]</f>
        <v>0.4226289517470882</v>
      </c>
    </row>
    <row r="8" spans="1:31" x14ac:dyDescent="0.55000000000000004">
      <c r="A8" s="26">
        <v>178</v>
      </c>
      <c r="B8" s="26" t="s">
        <v>54</v>
      </c>
      <c r="C8" s="26">
        <f>VLOOKUP($A8,'SAS Data'!$1:$1048576,MATCH(C$1,'SAS Data'!$3:$3,0),FALSE)</f>
        <v>19</v>
      </c>
      <c r="D8" s="26">
        <f>VLOOKUP($A8,'SAS Data'!$1:$1048576,MATCH(D$1,'SAS Data'!$3:$3,0),FALSE)</f>
        <v>25</v>
      </c>
      <c r="E8" s="26">
        <f t="shared" si="0"/>
        <v>44</v>
      </c>
      <c r="F8" s="27">
        <f>VLOOKUP($A8,'SAS Data'!$1:$1048576,MATCH(F$1,'SAS Data'!$3:$3,0),FALSE)</f>
        <v>24.245994423405055</v>
      </c>
      <c r="G8" s="28">
        <f>VLOOKUP($A8,'SAS Data'!$1:$1048576,MATCH(G$1,'SAS Data'!$3:$3,0),FALSE)</f>
        <v>72087</v>
      </c>
      <c r="H8" s="28">
        <f>+CNA_Sample[[#This Row],[Cna Cph]]*CNA_Sample[[#This Row],[Cna Hrsn]]</f>
        <v>1747821.0000000002</v>
      </c>
      <c r="I8" s="26">
        <v>44</v>
      </c>
      <c r="J8" s="29">
        <v>16.2</v>
      </c>
      <c r="K8" s="29">
        <v>25.7</v>
      </c>
      <c r="L8" s="29">
        <v>19.32</v>
      </c>
      <c r="M8" s="29">
        <v>19.806590909090914</v>
      </c>
      <c r="N8" s="26">
        <f>COUNTIFS('CNA Detail'!$A:$A,$A8,'CNA Detail'!$C:$C,"&lt;"&amp;L8)</f>
        <v>16</v>
      </c>
      <c r="O8" s="26">
        <f>COUNTIFS('CNA Detail'!$A:$A,$A8,'CNA Detail'!$C:$C,"&lt;"&amp;M8)</f>
        <v>28</v>
      </c>
      <c r="P8" s="26">
        <f>COUNTIFS('CNA Detail'!$A:$A,$A8,'CNA Detail'!$C:$C,"&lt;"&amp;$AD$1)</f>
        <v>43</v>
      </c>
      <c r="Q8" s="26">
        <f>COUNTIFS('CNA Detail'!$A:$A,$A8,'CNA Detail'!$C:$C,"&lt;"&amp;$AD$2)</f>
        <v>32</v>
      </c>
      <c r="R8" s="26">
        <f>COUNTIFS('CNA Detail'!$A:$A,$A8,'CNA Detail'!$C:$C,"&lt;"&amp;$AD$3)</f>
        <v>33</v>
      </c>
      <c r="S8" s="28">
        <f>+CNA_Sample[[#This Row],[CNA median]]*CNA_Sample[[#This Row],[Cna Hrsn]]</f>
        <v>1392720.84</v>
      </c>
      <c r="T8" s="28">
        <f>+CNA_Sample[[#This Row],[CNA average]]*CNA_Sample[[#This Row],[Cna Hrsn]]</f>
        <v>1427797.7188636367</v>
      </c>
      <c r="U8" s="30">
        <f>CNA_Sample[[#This Row],[Est median wage cost ]]/CNA_Sample[[#This Row],[Cost]]</f>
        <v>0.79683265048308716</v>
      </c>
      <c r="V8" s="30">
        <f>CNA_Sample[[#This Row],[Est average wage cost]]/CNA_Sample[[#This Row],[Cost]]</f>
        <v>0.81690156993401297</v>
      </c>
      <c r="W8" s="30">
        <f>+CNA_Sample[[#This Row],[CNA min.]]/CNA_Sample[[#This Row],[CNA median]]</f>
        <v>0.83850931677018625</v>
      </c>
      <c r="X8" s="30">
        <f>+CNA_Sample[[#This Row],[CNA max]]/CNA_Sample[[#This Row],[CNA median]]</f>
        <v>1.3302277432712215</v>
      </c>
      <c r="Y8" s="26">
        <f>VLOOKUP(A8,Summary!$1:$1048576,2,FALSE)</f>
        <v>3</v>
      </c>
      <c r="AC8" s="31" t="s">
        <v>84</v>
      </c>
      <c r="AD8" s="30">
        <f>+CNA_Sample[[#Totals],[Below Average]]/CNA_Sample[[#Totals],[CNA count Per Data Sample]]</f>
        <v>0.5747088186356073</v>
      </c>
    </row>
    <row r="9" spans="1:31" x14ac:dyDescent="0.55000000000000004">
      <c r="A9" s="26">
        <v>183</v>
      </c>
      <c r="B9" s="26" t="s">
        <v>54</v>
      </c>
      <c r="C9" s="26">
        <f>VLOOKUP($A9,'SAS Data'!$1:$1048576,MATCH(C$1,'SAS Data'!$3:$3,0),FALSE)</f>
        <v>4</v>
      </c>
      <c r="D9" s="26">
        <f>VLOOKUP($A9,'SAS Data'!$1:$1048576,MATCH(D$1,'SAS Data'!$3:$3,0),FALSE)</f>
        <v>1</v>
      </c>
      <c r="E9" s="26">
        <f t="shared" si="0"/>
        <v>5</v>
      </c>
      <c r="F9" s="27">
        <f>VLOOKUP($A9,'SAS Data'!$1:$1048576,MATCH(F$1,'SAS Data'!$3:$3,0),FALSE)</f>
        <v>26.254238268819069</v>
      </c>
      <c r="G9" s="28">
        <f>VLOOKUP($A9,'SAS Data'!$1:$1048576,MATCH(G$1,'SAS Data'!$3:$3,0),FALSE)</f>
        <v>17283</v>
      </c>
      <c r="H9" s="28">
        <f>+CNA_Sample[[#This Row],[Cna Cph]]*CNA_Sample[[#This Row],[Cna Hrsn]]</f>
        <v>453752</v>
      </c>
      <c r="I9" s="26">
        <v>14</v>
      </c>
      <c r="J9" s="29">
        <v>17.91</v>
      </c>
      <c r="K9" s="29">
        <v>27.31</v>
      </c>
      <c r="L9" s="29">
        <v>23.78</v>
      </c>
      <c r="M9" s="29">
        <v>23.245714285714286</v>
      </c>
      <c r="N9" s="26">
        <f>COUNTIFS('CNA Detail'!$A:$A,$A9,'CNA Detail'!$C:$C,"&lt;"&amp;L9)</f>
        <v>7</v>
      </c>
      <c r="O9" s="26">
        <f>COUNTIFS('CNA Detail'!$A:$A,$A9,'CNA Detail'!$C:$C,"&lt;"&amp;M9)</f>
        <v>6</v>
      </c>
      <c r="P9" s="26">
        <f>COUNTIFS('CNA Detail'!$A:$A,$A9,'CNA Detail'!$C:$C,"&lt;"&amp;$AD$1)</f>
        <v>9</v>
      </c>
      <c r="Q9" s="26">
        <f>COUNTIFS('CNA Detail'!$A:$A,$A9,'CNA Detail'!$C:$C,"&lt;"&amp;$AD$2)</f>
        <v>4</v>
      </c>
      <c r="R9" s="26">
        <f>COUNTIFS('CNA Detail'!$A:$A,$A9,'CNA Detail'!$C:$C,"&lt;"&amp;$AD$3)</f>
        <v>4</v>
      </c>
      <c r="S9" s="28">
        <f>+CNA_Sample[[#This Row],[CNA median]]*CNA_Sample[[#This Row],[Cna Hrsn]]</f>
        <v>410989.74</v>
      </c>
      <c r="T9" s="28">
        <f>+CNA_Sample[[#This Row],[CNA average]]*CNA_Sample[[#This Row],[Cna Hrsn]]</f>
        <v>401755.68</v>
      </c>
      <c r="U9" s="30">
        <f>CNA_Sample[[#This Row],[Est median wage cost ]]/CNA_Sample[[#This Row],[Cost]]</f>
        <v>0.9057585200726388</v>
      </c>
      <c r="V9" s="30">
        <f>CNA_Sample[[#This Row],[Est average wage cost]]/CNA_Sample[[#This Row],[Cost]]</f>
        <v>0.88540806431707186</v>
      </c>
      <c r="W9" s="30">
        <f>+CNA_Sample[[#This Row],[CNA min.]]/CNA_Sample[[#This Row],[CNA median]]</f>
        <v>0.75315391084945327</v>
      </c>
      <c r="X9" s="30">
        <f>+CNA_Sample[[#This Row],[CNA max]]/CNA_Sample[[#This Row],[CNA median]]</f>
        <v>1.1484440706476029</v>
      </c>
      <c r="Y9" s="26">
        <f>VLOOKUP(A9,Summary!$1:$1048576,2,FALSE)</f>
        <v>1</v>
      </c>
      <c r="AC9" s="31" t="s">
        <v>85</v>
      </c>
      <c r="AD9" s="30">
        <f>+CNA_Sample[[#Totals],[Below Floor]]/CNA_Sample[[#Totals],[CNA count Per Data Sample]]</f>
        <v>0.93444259567387689</v>
      </c>
    </row>
    <row r="10" spans="1:31" x14ac:dyDescent="0.55000000000000004">
      <c r="A10" s="26">
        <v>203</v>
      </c>
      <c r="B10" s="26" t="s">
        <v>54</v>
      </c>
      <c r="C10" s="26">
        <f>VLOOKUP($A10,'SAS Data'!$1:$1048576,MATCH(C$1,'SAS Data'!$3:$3,0),FALSE)</f>
        <v>20</v>
      </c>
      <c r="D10" s="26">
        <f>VLOOKUP($A10,'SAS Data'!$1:$1048576,MATCH(D$1,'SAS Data'!$3:$3,0),FALSE)</f>
        <v>5</v>
      </c>
      <c r="E10" s="26">
        <f t="shared" si="0"/>
        <v>25</v>
      </c>
      <c r="F10" s="27">
        <f>VLOOKUP($A10,'SAS Data'!$1:$1048576,MATCH(F$1,'SAS Data'!$3:$3,0),FALSE)</f>
        <v>17.035095433746033</v>
      </c>
      <c r="G10" s="28">
        <f>VLOOKUP($A10,'SAS Data'!$1:$1048576,MATCH(G$1,'SAS Data'!$3:$3,0),FALSE)</f>
        <v>72773</v>
      </c>
      <c r="H10" s="28">
        <f>+CNA_Sample[[#This Row],[Cna Cph]]*CNA_Sample[[#This Row],[Cna Hrsn]]</f>
        <v>1239695</v>
      </c>
      <c r="I10" s="26">
        <v>63</v>
      </c>
      <c r="J10" s="29">
        <v>17</v>
      </c>
      <c r="K10" s="29">
        <v>28</v>
      </c>
      <c r="L10" s="29">
        <v>19.38</v>
      </c>
      <c r="M10" s="29">
        <v>20.050317460317455</v>
      </c>
      <c r="N10" s="26">
        <f>COUNTIFS('CNA Detail'!$A:$A,$A10,'CNA Detail'!$C:$C,"&lt;"&amp;L10)</f>
        <v>24</v>
      </c>
      <c r="O10" s="26">
        <f>COUNTIFS('CNA Detail'!$A:$A,$A10,'CNA Detail'!$C:$C,"&lt;"&amp;M10)</f>
        <v>42</v>
      </c>
      <c r="P10" s="26">
        <f>COUNTIFS('CNA Detail'!$A:$A,$A10,'CNA Detail'!$C:$C,"&lt;"&amp;$AD$1)</f>
        <v>60</v>
      </c>
      <c r="Q10" s="26">
        <f>COUNTIFS('CNA Detail'!$A:$A,$A10,'CNA Detail'!$C:$C,"&lt;"&amp;$AD$2)</f>
        <v>53</v>
      </c>
      <c r="R10" s="26">
        <f>COUNTIFS('CNA Detail'!$A:$A,$A10,'CNA Detail'!$C:$C,"&lt;"&amp;$AD$3)</f>
        <v>54</v>
      </c>
      <c r="S10" s="28">
        <f>+CNA_Sample[[#This Row],[CNA median]]*CNA_Sample[[#This Row],[Cna Hrsn]]</f>
        <v>1410340.74</v>
      </c>
      <c r="T10" s="28">
        <f>+CNA_Sample[[#This Row],[CNA average]]*CNA_Sample[[#This Row],[Cna Hrsn]]</f>
        <v>1459121.7525396822</v>
      </c>
      <c r="U10" s="30">
        <f>CNA_Sample[[#This Row],[Est median wage cost ]]/CNA_Sample[[#This Row],[Cost]]</f>
        <v>1.1376513900596517</v>
      </c>
      <c r="V10" s="30">
        <f>CNA_Sample[[#This Row],[Est average wage cost]]/CNA_Sample[[#This Row],[Cost]]</f>
        <v>1.1770005949364015</v>
      </c>
      <c r="W10" s="30">
        <f>+CNA_Sample[[#This Row],[CNA min.]]/CNA_Sample[[#This Row],[CNA median]]</f>
        <v>0.87719298245614041</v>
      </c>
      <c r="X10" s="30">
        <f>+CNA_Sample[[#This Row],[CNA max]]/CNA_Sample[[#This Row],[CNA median]]</f>
        <v>1.4447884416924666</v>
      </c>
      <c r="Y10" s="26">
        <f>VLOOKUP(A10,Summary!$1:$1048576,2,FALSE)</f>
        <v>2</v>
      </c>
      <c r="AC10" s="31" t="s">
        <v>86</v>
      </c>
      <c r="AD10" s="30">
        <f>+CNA_Sample[[#Totals],[Below weighted average median wage]]/CNA_Sample[[#Totals],[CNA count Per Data Sample]]</f>
        <v>0.5391014975041597</v>
      </c>
    </row>
    <row r="11" spans="1:31" x14ac:dyDescent="0.55000000000000004">
      <c r="A11" s="26">
        <v>205</v>
      </c>
      <c r="B11" s="26" t="s">
        <v>54</v>
      </c>
      <c r="C11" s="26">
        <f>VLOOKUP($A11,'SAS Data'!$1:$1048576,MATCH(C$1,'SAS Data'!$3:$3,0),FALSE)</f>
        <v>9</v>
      </c>
      <c r="D11" s="26">
        <f>VLOOKUP($A11,'SAS Data'!$1:$1048576,MATCH(D$1,'SAS Data'!$3:$3,0),FALSE)</f>
        <v>19</v>
      </c>
      <c r="E11" s="26">
        <f t="shared" si="0"/>
        <v>28</v>
      </c>
      <c r="F11" s="27">
        <f>VLOOKUP($A11,'SAS Data'!$1:$1048576,MATCH(F$1,'SAS Data'!$3:$3,0),FALSE)</f>
        <v>17.897868301941887</v>
      </c>
      <c r="G11" s="28">
        <f>VLOOKUP($A11,'SAS Data'!$1:$1048576,MATCH(G$1,'SAS Data'!$3:$3,0),FALSE)</f>
        <v>41094</v>
      </c>
      <c r="H11" s="28">
        <f>+CNA_Sample[[#This Row],[Cna Cph]]*CNA_Sample[[#This Row],[Cna Hrsn]]</f>
        <v>735494.99999999988</v>
      </c>
      <c r="I11" s="26">
        <v>30</v>
      </c>
      <c r="J11" s="29">
        <v>16.5</v>
      </c>
      <c r="K11" s="29">
        <v>21.28</v>
      </c>
      <c r="L11" s="29">
        <v>18.295000000000002</v>
      </c>
      <c r="M11" s="29">
        <v>18.635333333333332</v>
      </c>
      <c r="N11" s="26">
        <f>COUNTIFS('CNA Detail'!$A:$A,$A11,'CNA Detail'!$C:$C,"&lt;"&amp;L11)</f>
        <v>15</v>
      </c>
      <c r="O11" s="26">
        <f>COUNTIFS('CNA Detail'!$A:$A,$A11,'CNA Detail'!$C:$C,"&lt;"&amp;M11)</f>
        <v>17</v>
      </c>
      <c r="P11" s="26">
        <f>COUNTIFS('CNA Detail'!$A:$A,$A11,'CNA Detail'!$C:$C,"&lt;"&amp;$AD$1)</f>
        <v>30</v>
      </c>
      <c r="Q11" s="26">
        <f>COUNTIFS('CNA Detail'!$A:$A,$A11,'CNA Detail'!$C:$C,"&lt;"&amp;$AD$2)</f>
        <v>27</v>
      </c>
      <c r="R11" s="26">
        <f>COUNTIFS('CNA Detail'!$A:$A,$A11,'CNA Detail'!$C:$C,"&lt;"&amp;$AD$3)</f>
        <v>29</v>
      </c>
      <c r="S11" s="28">
        <f>+CNA_Sample[[#This Row],[CNA median]]*CNA_Sample[[#This Row],[Cna Hrsn]]</f>
        <v>751814.7300000001</v>
      </c>
      <c r="T11" s="28">
        <f>+CNA_Sample[[#This Row],[CNA average]]*CNA_Sample[[#This Row],[Cna Hrsn]]</f>
        <v>765800.38799999992</v>
      </c>
      <c r="U11" s="30">
        <f>CNA_Sample[[#This Row],[Est median wage cost ]]/CNA_Sample[[#This Row],[Cost]]</f>
        <v>1.0221887708278101</v>
      </c>
      <c r="V11" s="30">
        <f>CNA_Sample[[#This Row],[Est average wage cost]]/CNA_Sample[[#This Row],[Cost]]</f>
        <v>1.0412040707278771</v>
      </c>
      <c r="W11" s="30">
        <f>+CNA_Sample[[#This Row],[CNA min.]]/CNA_Sample[[#This Row],[CNA median]]</f>
        <v>0.90188576113692254</v>
      </c>
      <c r="X11" s="30">
        <f>+CNA_Sample[[#This Row],[CNA max]]/CNA_Sample[[#This Row],[CNA median]]</f>
        <v>1.1631593331511341</v>
      </c>
      <c r="Y11" s="26">
        <f>VLOOKUP(A11,Summary!$1:$1048576,2,FALSE)</f>
        <v>2</v>
      </c>
      <c r="AC11" s="31" t="s">
        <v>87</v>
      </c>
      <c r="AD11" s="30">
        <f>+CNA_Sample[[#Totals],[Below weighted average, average wage]]/CNA_Sample[[#Totals],[CNA count Per Data Sample]]</f>
        <v>0.56039933444259571</v>
      </c>
    </row>
    <row r="12" spans="1:31" x14ac:dyDescent="0.55000000000000004">
      <c r="A12" s="26">
        <v>206</v>
      </c>
      <c r="B12" s="26" t="s">
        <v>54</v>
      </c>
      <c r="C12" s="26">
        <f>VLOOKUP($A12,'SAS Data'!$1:$1048576,MATCH(C$1,'SAS Data'!$3:$3,0),FALSE)</f>
        <v>12</v>
      </c>
      <c r="D12" s="26">
        <f>VLOOKUP($A12,'SAS Data'!$1:$1048576,MATCH(D$1,'SAS Data'!$3:$3,0),FALSE)</f>
        <v>12</v>
      </c>
      <c r="E12" s="26">
        <f t="shared" si="0"/>
        <v>24</v>
      </c>
      <c r="F12" s="27">
        <f>VLOOKUP($A12,'SAS Data'!$1:$1048576,MATCH(F$1,'SAS Data'!$3:$3,0),FALSE)</f>
        <v>21.483510040553082</v>
      </c>
      <c r="G12" s="28">
        <f>VLOOKUP($A12,'SAS Data'!$1:$1048576,MATCH(G$1,'SAS Data'!$3:$3,0),FALSE)</f>
        <v>40934</v>
      </c>
      <c r="H12" s="28">
        <f>+CNA_Sample[[#This Row],[Cna Cph]]*CNA_Sample[[#This Row],[Cna Hrsn]]</f>
        <v>879405.99999999988</v>
      </c>
      <c r="I12" s="26">
        <v>63</v>
      </c>
      <c r="J12" s="29">
        <v>16.21</v>
      </c>
      <c r="K12" s="29">
        <v>20.77</v>
      </c>
      <c r="L12" s="29">
        <v>18.05</v>
      </c>
      <c r="M12" s="29">
        <v>18.023333333333323</v>
      </c>
      <c r="N12" s="26">
        <f>COUNTIFS('CNA Detail'!$A:$A,$A12,'CNA Detail'!$C:$C,"&lt;"&amp;L12)</f>
        <v>31</v>
      </c>
      <c r="O12" s="26">
        <f>COUNTIFS('CNA Detail'!$A:$A,$A12,'CNA Detail'!$C:$C,"&lt;"&amp;M12)</f>
        <v>31</v>
      </c>
      <c r="P12" s="26">
        <f>COUNTIFS('CNA Detail'!$A:$A,$A12,'CNA Detail'!$C:$C,"&lt;"&amp;$AD$1)</f>
        <v>63</v>
      </c>
      <c r="Q12" s="26">
        <f>COUNTIFS('CNA Detail'!$A:$A,$A12,'CNA Detail'!$C:$C,"&lt;"&amp;$AD$2)</f>
        <v>62</v>
      </c>
      <c r="R12" s="26">
        <f>COUNTIFS('CNA Detail'!$A:$A,$A12,'CNA Detail'!$C:$C,"&lt;"&amp;$AD$3)</f>
        <v>63</v>
      </c>
      <c r="S12" s="28">
        <f>+CNA_Sample[[#This Row],[CNA median]]*CNA_Sample[[#This Row],[Cna Hrsn]]</f>
        <v>738858.70000000007</v>
      </c>
      <c r="T12" s="28">
        <f>+CNA_Sample[[#This Row],[CNA average]]*CNA_Sample[[#This Row],[Cna Hrsn]]</f>
        <v>737767.12666666624</v>
      </c>
      <c r="U12" s="30">
        <f>CNA_Sample[[#This Row],[Est median wage cost ]]/CNA_Sample[[#This Row],[Cost]]</f>
        <v>0.84017928010498011</v>
      </c>
      <c r="V12" s="30">
        <f>CNA_Sample[[#This Row],[Est average wage cost]]/CNA_Sample[[#This Row],[Cost]]</f>
        <v>0.83893801801064161</v>
      </c>
      <c r="W12" s="30">
        <f>+CNA_Sample[[#This Row],[CNA min.]]/CNA_Sample[[#This Row],[CNA median]]</f>
        <v>0.89806094182825491</v>
      </c>
      <c r="X12" s="30">
        <f>+CNA_Sample[[#This Row],[CNA max]]/CNA_Sample[[#This Row],[CNA median]]</f>
        <v>1.1506925207756231</v>
      </c>
      <c r="Y12" s="26">
        <f>VLOOKUP(A12,Summary!$1:$1048576,2,FALSE)</f>
        <v>2</v>
      </c>
    </row>
    <row r="13" spans="1:31" x14ac:dyDescent="0.55000000000000004">
      <c r="A13" s="26">
        <v>212</v>
      </c>
      <c r="B13" s="26" t="s">
        <v>54</v>
      </c>
      <c r="C13" s="26">
        <f>VLOOKUP($A13,'SAS Data'!$1:$1048576,MATCH(C$1,'SAS Data'!$3:$3,0),FALSE)</f>
        <v>18</v>
      </c>
      <c r="D13" s="26">
        <f>VLOOKUP($A13,'SAS Data'!$1:$1048576,MATCH(D$1,'SAS Data'!$3:$3,0),FALSE)</f>
        <v>16</v>
      </c>
      <c r="E13" s="26">
        <f t="shared" si="0"/>
        <v>34</v>
      </c>
      <c r="F13" s="27">
        <f>VLOOKUP($A13,'SAS Data'!$1:$1048576,MATCH(F$1,'SAS Data'!$3:$3,0),FALSE)</f>
        <v>23.479752651694078</v>
      </c>
      <c r="G13" s="28">
        <f>VLOOKUP($A13,'SAS Data'!$1:$1048576,MATCH(G$1,'SAS Data'!$3:$3,0),FALSE)</f>
        <v>46574</v>
      </c>
      <c r="H13" s="28">
        <f>+CNA_Sample[[#This Row],[Cna Cph]]*CNA_Sample[[#This Row],[Cna Hrsn]]</f>
        <v>1093546</v>
      </c>
      <c r="I13" s="26">
        <v>24</v>
      </c>
      <c r="J13" s="29">
        <v>18</v>
      </c>
      <c r="K13" s="29">
        <v>24.64</v>
      </c>
      <c r="L13" s="29">
        <v>19.619999999999997</v>
      </c>
      <c r="M13" s="29">
        <v>20.500833333333333</v>
      </c>
      <c r="N13" s="26">
        <f>COUNTIFS('CNA Detail'!$A:$A,$A13,'CNA Detail'!$C:$C,"&lt;"&amp;L13)</f>
        <v>12</v>
      </c>
      <c r="O13" s="26">
        <f>COUNTIFS('CNA Detail'!$A:$A,$A13,'CNA Detail'!$C:$C,"&lt;"&amp;M13)</f>
        <v>15</v>
      </c>
      <c r="P13" s="26">
        <f>COUNTIFS('CNA Detail'!$A:$A,$A13,'CNA Detail'!$C:$C,"&lt;"&amp;$AD$1)</f>
        <v>24</v>
      </c>
      <c r="Q13" s="26">
        <f>COUNTIFS('CNA Detail'!$A:$A,$A13,'CNA Detail'!$C:$C,"&lt;"&amp;$AD$2)</f>
        <v>15</v>
      </c>
      <c r="R13" s="26">
        <f>COUNTIFS('CNA Detail'!$A:$A,$A13,'CNA Detail'!$C:$C,"&lt;"&amp;$AD$3)</f>
        <v>15</v>
      </c>
      <c r="S13" s="28">
        <f>+CNA_Sample[[#This Row],[CNA median]]*CNA_Sample[[#This Row],[Cna Hrsn]]</f>
        <v>913781.87999999989</v>
      </c>
      <c r="T13" s="28">
        <f>+CNA_Sample[[#This Row],[CNA average]]*CNA_Sample[[#This Row],[Cna Hrsn]]</f>
        <v>954805.81166666665</v>
      </c>
      <c r="U13" s="30">
        <f>CNA_Sample[[#This Row],[Est median wage cost ]]/CNA_Sample[[#This Row],[Cost]]</f>
        <v>0.83561357272579284</v>
      </c>
      <c r="V13" s="30">
        <f>CNA_Sample[[#This Row],[Est average wage cost]]/CNA_Sample[[#This Row],[Cost]]</f>
        <v>0.87312816439972951</v>
      </c>
      <c r="W13" s="30">
        <f>+CNA_Sample[[#This Row],[CNA min.]]/CNA_Sample[[#This Row],[CNA median]]</f>
        <v>0.91743119266055062</v>
      </c>
      <c r="X13" s="30">
        <f>+CNA_Sample[[#This Row],[CNA max]]/CNA_Sample[[#This Row],[CNA median]]</f>
        <v>1.2558613659531093</v>
      </c>
      <c r="Y13" s="26">
        <f>VLOOKUP(A13,Summary!$1:$1048576,2,FALSE)</f>
        <v>3</v>
      </c>
    </row>
    <row r="14" spans="1:31" x14ac:dyDescent="0.55000000000000004">
      <c r="A14" s="26">
        <v>218</v>
      </c>
      <c r="B14" s="26" t="s">
        <v>54</v>
      </c>
      <c r="C14" s="26">
        <f>VLOOKUP($A14,'SAS Data'!$1:$1048576,MATCH(C$1,'SAS Data'!$3:$3,0),FALSE)</f>
        <v>18</v>
      </c>
      <c r="D14" s="26">
        <f>VLOOKUP($A14,'SAS Data'!$1:$1048576,MATCH(D$1,'SAS Data'!$3:$3,0),FALSE)</f>
        <v>5</v>
      </c>
      <c r="E14" s="26">
        <f t="shared" si="0"/>
        <v>23</v>
      </c>
      <c r="F14" s="27">
        <f>VLOOKUP($A14,'SAS Data'!$1:$1048576,MATCH(F$1,'SAS Data'!$3:$3,0),FALSE)</f>
        <v>19.902536026031711</v>
      </c>
      <c r="G14" s="28">
        <f>VLOOKUP($A14,'SAS Data'!$1:$1048576,MATCH(G$1,'SAS Data'!$3:$3,0),FALSE)</f>
        <v>58083</v>
      </c>
      <c r="H14" s="28">
        <f>+CNA_Sample[[#This Row],[Cna Cph]]*CNA_Sample[[#This Row],[Cna Hrsn]]</f>
        <v>1155999</v>
      </c>
      <c r="I14" s="26">
        <v>35</v>
      </c>
      <c r="J14" s="29">
        <v>18</v>
      </c>
      <c r="K14" s="29">
        <v>28</v>
      </c>
      <c r="L14" s="29">
        <v>23</v>
      </c>
      <c r="M14" s="29">
        <v>22.657142857142858</v>
      </c>
      <c r="N14" s="26">
        <f>COUNTIFS('CNA Detail'!$A:$A,$A14,'CNA Detail'!$C:$C,"&lt;"&amp;L14)</f>
        <v>17</v>
      </c>
      <c r="O14" s="26">
        <f>COUNTIFS('CNA Detail'!$A:$A,$A14,'CNA Detail'!$C:$C,"&lt;"&amp;M14)</f>
        <v>17</v>
      </c>
      <c r="P14" s="26">
        <f>COUNTIFS('CNA Detail'!$A:$A,$A14,'CNA Detail'!$C:$C,"&lt;"&amp;$AD$1)</f>
        <v>32</v>
      </c>
      <c r="Q14" s="26">
        <f>COUNTIFS('CNA Detail'!$A:$A,$A14,'CNA Detail'!$C:$C,"&lt;"&amp;$AD$2)</f>
        <v>3</v>
      </c>
      <c r="R14" s="26">
        <f>COUNTIFS('CNA Detail'!$A:$A,$A14,'CNA Detail'!$C:$C,"&lt;"&amp;$AD$3)</f>
        <v>3</v>
      </c>
      <c r="S14" s="28">
        <f>+CNA_Sample[[#This Row],[CNA median]]*CNA_Sample[[#This Row],[Cna Hrsn]]</f>
        <v>1335909</v>
      </c>
      <c r="T14" s="28">
        <f>+CNA_Sample[[#This Row],[CNA average]]*CNA_Sample[[#This Row],[Cna Hrsn]]</f>
        <v>1315994.8285714285</v>
      </c>
      <c r="U14" s="30">
        <f>CNA_Sample[[#This Row],[Est median wage cost ]]/CNA_Sample[[#This Row],[Cost]]</f>
        <v>1.1556316225187047</v>
      </c>
      <c r="V14" s="30">
        <f>CNA_Sample[[#This Row],[Est average wage cost]]/CNA_Sample[[#This Row],[Cost]]</f>
        <v>1.1384048157233948</v>
      </c>
      <c r="W14" s="30">
        <f>+CNA_Sample[[#This Row],[CNA min.]]/CNA_Sample[[#This Row],[CNA median]]</f>
        <v>0.78260869565217395</v>
      </c>
      <c r="X14" s="30">
        <f>+CNA_Sample[[#This Row],[CNA max]]/CNA_Sample[[#This Row],[CNA median]]</f>
        <v>1.2173913043478262</v>
      </c>
      <c r="Y14" s="26">
        <f>VLOOKUP(A14,Summary!$1:$1048576,2,FALSE)</f>
        <v>2</v>
      </c>
    </row>
    <row r="15" spans="1:31" x14ac:dyDescent="0.55000000000000004">
      <c r="A15" s="26">
        <v>222</v>
      </c>
      <c r="B15" s="26" t="s">
        <v>54</v>
      </c>
      <c r="C15" s="26">
        <f>VLOOKUP($A15,'SAS Data'!$1:$1048576,MATCH(C$1,'SAS Data'!$3:$3,0),FALSE)</f>
        <v>2</v>
      </c>
      <c r="D15" s="26">
        <f>VLOOKUP($A15,'SAS Data'!$1:$1048576,MATCH(D$1,'SAS Data'!$3:$3,0),FALSE)</f>
        <v>8</v>
      </c>
      <c r="E15" s="26">
        <f t="shared" si="0"/>
        <v>10</v>
      </c>
      <c r="F15" s="27">
        <f>VLOOKUP($A15,'SAS Data'!$1:$1048576,MATCH(F$1,'SAS Data'!$3:$3,0),FALSE)</f>
        <v>24.168977071151701</v>
      </c>
      <c r="G15" s="28">
        <f>VLOOKUP($A15,'SAS Data'!$1:$1048576,MATCH(G$1,'SAS Data'!$3:$3,0),FALSE)</f>
        <v>15221</v>
      </c>
      <c r="H15" s="28">
        <f>+CNA_Sample[[#This Row],[Cna Cph]]*CNA_Sample[[#This Row],[Cna Hrsn]]</f>
        <v>367876.00000000006</v>
      </c>
      <c r="I15" s="26">
        <v>11</v>
      </c>
      <c r="J15" s="29">
        <v>17.5</v>
      </c>
      <c r="K15" s="29">
        <v>22.7</v>
      </c>
      <c r="L15" s="29">
        <v>20.04</v>
      </c>
      <c r="M15" s="29">
        <v>19.66090909090909</v>
      </c>
      <c r="N15" s="26">
        <f>COUNTIFS('CNA Detail'!$A:$A,$A15,'CNA Detail'!$C:$C,"&lt;"&amp;L15)</f>
        <v>5</v>
      </c>
      <c r="O15" s="26">
        <f>COUNTIFS('CNA Detail'!$A:$A,$A15,'CNA Detail'!$C:$C,"&lt;"&amp;M15)</f>
        <v>5</v>
      </c>
      <c r="P15" s="26">
        <f>COUNTIFS('CNA Detail'!$A:$A,$A15,'CNA Detail'!$C:$C,"&lt;"&amp;$AD$1)</f>
        <v>11</v>
      </c>
      <c r="Q15" s="26">
        <f>COUNTIFS('CNA Detail'!$A:$A,$A15,'CNA Detail'!$C:$C,"&lt;"&amp;$AD$2)</f>
        <v>7</v>
      </c>
      <c r="R15" s="26">
        <f>COUNTIFS('CNA Detail'!$A:$A,$A15,'CNA Detail'!$C:$C,"&lt;"&amp;$AD$3)</f>
        <v>8</v>
      </c>
      <c r="S15" s="28">
        <f>+CNA_Sample[[#This Row],[CNA median]]*CNA_Sample[[#This Row],[Cna Hrsn]]</f>
        <v>305028.83999999997</v>
      </c>
      <c r="T15" s="28">
        <f>+CNA_Sample[[#This Row],[CNA average]]*CNA_Sample[[#This Row],[Cna Hrsn]]</f>
        <v>299258.69727272727</v>
      </c>
      <c r="U15" s="30">
        <f>CNA_Sample[[#This Row],[Est median wage cost ]]/CNA_Sample[[#This Row],[Cost]]</f>
        <v>0.829162108971501</v>
      </c>
      <c r="V15" s="30">
        <f>CNA_Sample[[#This Row],[Est average wage cost]]/CNA_Sample[[#This Row],[Cost]]</f>
        <v>0.81347708812949804</v>
      </c>
      <c r="W15" s="30">
        <f>+CNA_Sample[[#This Row],[CNA min.]]/CNA_Sample[[#This Row],[CNA median]]</f>
        <v>0.87325349301397215</v>
      </c>
      <c r="X15" s="30">
        <f>+CNA_Sample[[#This Row],[CNA max]]/CNA_Sample[[#This Row],[CNA median]]</f>
        <v>1.1327345309381238</v>
      </c>
      <c r="Y15" s="26">
        <f>VLOOKUP(A15,Summary!$1:$1048576,2,FALSE)</f>
        <v>3</v>
      </c>
    </row>
    <row r="16" spans="1:31" x14ac:dyDescent="0.55000000000000004">
      <c r="A16" s="26">
        <v>227</v>
      </c>
      <c r="B16" s="26" t="s">
        <v>54</v>
      </c>
      <c r="C16" s="26">
        <f>VLOOKUP($A16,'SAS Data'!$1:$1048576,MATCH(C$1,'SAS Data'!$3:$3,0),FALSE)</f>
        <v>4</v>
      </c>
      <c r="D16" s="26">
        <f>VLOOKUP($A16,'SAS Data'!$1:$1048576,MATCH(D$1,'SAS Data'!$3:$3,0),FALSE)</f>
        <v>7</v>
      </c>
      <c r="E16" s="26">
        <f t="shared" si="0"/>
        <v>11</v>
      </c>
      <c r="F16" s="27">
        <f>VLOOKUP($A16,'SAS Data'!$1:$1048576,MATCH(F$1,'SAS Data'!$3:$3,0),FALSE)</f>
        <v>20.377082538471321</v>
      </c>
      <c r="G16" s="28">
        <f>VLOOKUP($A16,'SAS Data'!$1:$1048576,MATCH(G$1,'SAS Data'!$3:$3,0),FALSE)</f>
        <v>15726</v>
      </c>
      <c r="H16" s="28">
        <f>+CNA_Sample[[#This Row],[Cna Cph]]*CNA_Sample[[#This Row],[Cna Hrsn]]</f>
        <v>320450</v>
      </c>
      <c r="I16" s="26">
        <v>13</v>
      </c>
      <c r="J16" s="29">
        <v>15.3</v>
      </c>
      <c r="K16" s="29">
        <v>21</v>
      </c>
      <c r="L16" s="29">
        <v>16.3</v>
      </c>
      <c r="M16" s="29">
        <v>17.126923076923077</v>
      </c>
      <c r="N16" s="26">
        <f>COUNTIFS('CNA Detail'!$A:$A,$A16,'CNA Detail'!$C:$C,"&lt;"&amp;L16)</f>
        <v>6</v>
      </c>
      <c r="O16" s="26">
        <f>COUNTIFS('CNA Detail'!$A:$A,$A16,'CNA Detail'!$C:$C,"&lt;"&amp;M16)</f>
        <v>8</v>
      </c>
      <c r="P16" s="26">
        <f>COUNTIFS('CNA Detail'!$A:$A,$A16,'CNA Detail'!$C:$C,"&lt;"&amp;$AD$1)</f>
        <v>13</v>
      </c>
      <c r="Q16" s="26">
        <f>COUNTIFS('CNA Detail'!$A:$A,$A16,'CNA Detail'!$C:$C,"&lt;"&amp;$AD$2)</f>
        <v>12</v>
      </c>
      <c r="R16" s="26">
        <f>COUNTIFS('CNA Detail'!$A:$A,$A16,'CNA Detail'!$C:$C,"&lt;"&amp;$AD$3)</f>
        <v>12</v>
      </c>
      <c r="S16" s="28">
        <f>+CNA_Sample[[#This Row],[CNA median]]*CNA_Sample[[#This Row],[Cna Hrsn]]</f>
        <v>256333.80000000002</v>
      </c>
      <c r="T16" s="28">
        <f>+CNA_Sample[[#This Row],[CNA average]]*CNA_Sample[[#This Row],[Cna Hrsn]]</f>
        <v>269337.9923076923</v>
      </c>
      <c r="U16" s="30">
        <f>CNA_Sample[[#This Row],[Est median wage cost ]]/CNA_Sample[[#This Row],[Cost]]</f>
        <v>0.79991823997503519</v>
      </c>
      <c r="V16" s="30">
        <f>CNA_Sample[[#This Row],[Est average wage cost]]/CNA_Sample[[#This Row],[Cost]]</f>
        <v>0.84049927385767609</v>
      </c>
      <c r="W16" s="30">
        <f>+CNA_Sample[[#This Row],[CNA min.]]/CNA_Sample[[#This Row],[CNA median]]</f>
        <v>0.93865030674846628</v>
      </c>
      <c r="X16" s="30">
        <f>+CNA_Sample[[#This Row],[CNA max]]/CNA_Sample[[#This Row],[CNA median]]</f>
        <v>1.2883435582822085</v>
      </c>
      <c r="Y16" s="26">
        <f>VLOOKUP(A16,Summary!$1:$1048576,2,FALSE)</f>
        <v>2</v>
      </c>
    </row>
    <row r="17" spans="1:25" x14ac:dyDescent="0.55000000000000004">
      <c r="A17" s="26">
        <v>234</v>
      </c>
      <c r="B17" s="26" t="s">
        <v>54</v>
      </c>
      <c r="C17" s="26">
        <f>VLOOKUP($A17,'SAS Data'!$1:$1048576,MATCH(C$1,'SAS Data'!$3:$3,0),FALSE)</f>
        <v>4</v>
      </c>
      <c r="D17" s="26">
        <f>VLOOKUP($A17,'SAS Data'!$1:$1048576,MATCH(D$1,'SAS Data'!$3:$3,0),FALSE)</f>
        <v>4</v>
      </c>
      <c r="E17" s="26">
        <f t="shared" si="0"/>
        <v>8</v>
      </c>
      <c r="F17" s="27">
        <f>VLOOKUP($A17,'SAS Data'!$1:$1048576,MATCH(F$1,'SAS Data'!$3:$3,0),FALSE)</f>
        <v>19.365290806754221</v>
      </c>
      <c r="G17" s="28">
        <f>VLOOKUP($A17,'SAS Data'!$1:$1048576,MATCH(G$1,'SAS Data'!$3:$3,0),FALSE)</f>
        <v>21320</v>
      </c>
      <c r="H17" s="28">
        <f>+CNA_Sample[[#This Row],[Cna Cph]]*CNA_Sample[[#This Row],[Cna Hrsn]]</f>
        <v>412868</v>
      </c>
      <c r="I17" s="26">
        <v>11</v>
      </c>
      <c r="J17" s="29">
        <v>16.75</v>
      </c>
      <c r="K17" s="29">
        <v>20</v>
      </c>
      <c r="L17" s="29">
        <v>18.5</v>
      </c>
      <c r="M17" s="29">
        <v>18.181818181818183</v>
      </c>
      <c r="N17" s="26">
        <f>COUNTIFS('CNA Detail'!$A:$A,$A17,'CNA Detail'!$C:$C,"&lt;"&amp;L17)</f>
        <v>5</v>
      </c>
      <c r="O17" s="26">
        <f>COUNTIFS('CNA Detail'!$A:$A,$A17,'CNA Detail'!$C:$C,"&lt;"&amp;M17)</f>
        <v>5</v>
      </c>
      <c r="P17" s="26">
        <f>COUNTIFS('CNA Detail'!$A:$A,$A17,'CNA Detail'!$C:$C,"&lt;"&amp;$AD$1)</f>
        <v>11</v>
      </c>
      <c r="Q17" s="26">
        <f>COUNTIFS('CNA Detail'!$A:$A,$A17,'CNA Detail'!$C:$C,"&lt;"&amp;$AD$2)</f>
        <v>11</v>
      </c>
      <c r="R17" s="26">
        <f>COUNTIFS('CNA Detail'!$A:$A,$A17,'CNA Detail'!$C:$C,"&lt;"&amp;$AD$3)</f>
        <v>11</v>
      </c>
      <c r="S17" s="28">
        <f>+CNA_Sample[[#This Row],[CNA median]]*CNA_Sample[[#This Row],[Cna Hrsn]]</f>
        <v>394420</v>
      </c>
      <c r="T17" s="28">
        <f>+CNA_Sample[[#This Row],[CNA average]]*CNA_Sample[[#This Row],[Cna Hrsn]]</f>
        <v>387636.36363636365</v>
      </c>
      <c r="U17" s="30">
        <f>CNA_Sample[[#This Row],[Est median wage cost ]]/CNA_Sample[[#This Row],[Cost]]</f>
        <v>0.95531743801893099</v>
      </c>
      <c r="V17" s="30">
        <f>CNA_Sample[[#This Row],[Est average wage cost]]/CNA_Sample[[#This Row],[Cost]]</f>
        <v>0.93888691697192239</v>
      </c>
      <c r="W17" s="30">
        <f>+CNA_Sample[[#This Row],[CNA min.]]/CNA_Sample[[#This Row],[CNA median]]</f>
        <v>0.90540540540540537</v>
      </c>
      <c r="X17" s="30">
        <f>+CNA_Sample[[#This Row],[CNA max]]/CNA_Sample[[#This Row],[CNA median]]</f>
        <v>1.0810810810810811</v>
      </c>
      <c r="Y17" s="26">
        <f>VLOOKUP(A17,Summary!$1:$1048576,2,FALSE)</f>
        <v>3</v>
      </c>
    </row>
    <row r="18" spans="1:25" x14ac:dyDescent="0.55000000000000004">
      <c r="A18" s="26">
        <v>263</v>
      </c>
      <c r="B18" s="26" t="s">
        <v>54</v>
      </c>
      <c r="C18" s="26">
        <f>VLOOKUP($A18,'SAS Data'!$1:$1048576,MATCH(C$1,'SAS Data'!$3:$3,0),FALSE)</f>
        <v>14</v>
      </c>
      <c r="D18" s="26">
        <f>VLOOKUP($A18,'SAS Data'!$1:$1048576,MATCH(D$1,'SAS Data'!$3:$3,0),FALSE)</f>
        <v>10</v>
      </c>
      <c r="E18" s="26">
        <f t="shared" si="0"/>
        <v>24</v>
      </c>
      <c r="F18" s="27">
        <f>VLOOKUP($A18,'SAS Data'!$1:$1048576,MATCH(F$1,'SAS Data'!$3:$3,0),FALSE)</f>
        <v>23.624026727041805</v>
      </c>
      <c r="G18" s="28">
        <f>VLOOKUP($A18,'SAS Data'!$1:$1048576,MATCH(G$1,'SAS Data'!$3:$3,0),FALSE)</f>
        <v>36218</v>
      </c>
      <c r="H18" s="28">
        <f>+CNA_Sample[[#This Row],[Cna Cph]]*CNA_Sample[[#This Row],[Cna Hrsn]]</f>
        <v>855615.00000000012</v>
      </c>
      <c r="I18" s="26">
        <v>19</v>
      </c>
      <c r="J18" s="29">
        <v>17.940000000000001</v>
      </c>
      <c r="K18" s="29">
        <v>21.01</v>
      </c>
      <c r="L18" s="29">
        <v>21.01</v>
      </c>
      <c r="M18" s="29">
        <v>20.534736842105257</v>
      </c>
      <c r="N18" s="26">
        <f>COUNTIFS('CNA Detail'!$A:$A,$A18,'CNA Detail'!$C:$C,"&lt;"&amp;L18)</f>
        <v>5</v>
      </c>
      <c r="O18" s="26">
        <f>COUNTIFS('CNA Detail'!$A:$A,$A18,'CNA Detail'!$C:$C,"&lt;"&amp;M18)</f>
        <v>5</v>
      </c>
      <c r="P18" s="26">
        <f>COUNTIFS('CNA Detail'!$A:$A,$A18,'CNA Detail'!$C:$C,"&lt;"&amp;$AD$1)</f>
        <v>19</v>
      </c>
      <c r="Q18" s="26">
        <f>COUNTIFS('CNA Detail'!$A:$A,$A18,'CNA Detail'!$C:$C,"&lt;"&amp;$AD$2)</f>
        <v>5</v>
      </c>
      <c r="R18" s="26">
        <f>COUNTIFS('CNA Detail'!$A:$A,$A18,'CNA Detail'!$C:$C,"&lt;"&amp;$AD$3)</f>
        <v>5</v>
      </c>
      <c r="S18" s="28">
        <f>+CNA_Sample[[#This Row],[CNA median]]*CNA_Sample[[#This Row],[Cna Hrsn]]</f>
        <v>760940.18</v>
      </c>
      <c r="T18" s="28">
        <f>+CNA_Sample[[#This Row],[CNA average]]*CNA_Sample[[#This Row],[Cna Hrsn]]</f>
        <v>743727.09894736821</v>
      </c>
      <c r="U18" s="30">
        <f>CNA_Sample[[#This Row],[Est median wage cost ]]/CNA_Sample[[#This Row],[Cost]]</f>
        <v>0.88934880758284973</v>
      </c>
      <c r="V18" s="30">
        <f>CNA_Sample[[#This Row],[Est average wage cost]]/CNA_Sample[[#This Row],[Cost]]</f>
        <v>0.86923101973126715</v>
      </c>
      <c r="W18" s="30">
        <f>+CNA_Sample[[#This Row],[CNA min.]]/CNA_Sample[[#This Row],[CNA median]]</f>
        <v>0.85387910518800569</v>
      </c>
      <c r="X18" s="30">
        <f>+CNA_Sample[[#This Row],[CNA max]]/CNA_Sample[[#This Row],[CNA median]]</f>
        <v>1</v>
      </c>
      <c r="Y18" s="26">
        <f>VLOOKUP(A18,Summary!$1:$1048576,2,FALSE)</f>
        <v>3</v>
      </c>
    </row>
    <row r="19" spans="1:25" x14ac:dyDescent="0.55000000000000004">
      <c r="A19" s="26">
        <v>265</v>
      </c>
      <c r="B19" s="26" t="s">
        <v>54</v>
      </c>
      <c r="C19" s="26">
        <f>VLOOKUP($A19,'SAS Data'!$1:$1048576,MATCH(C$1,'SAS Data'!$3:$3,0),FALSE)</f>
        <v>23</v>
      </c>
      <c r="D19" s="26">
        <f>VLOOKUP($A19,'SAS Data'!$1:$1048576,MATCH(D$1,'SAS Data'!$3:$3,0),FALSE)</f>
        <v>7</v>
      </c>
      <c r="E19" s="26">
        <f t="shared" si="0"/>
        <v>30</v>
      </c>
      <c r="F19" s="27">
        <f>VLOOKUP($A19,'SAS Data'!$1:$1048576,MATCH(F$1,'SAS Data'!$3:$3,0),FALSE)</f>
        <v>23.895209580838323</v>
      </c>
      <c r="G19" s="28">
        <f>VLOOKUP($A19,'SAS Data'!$1:$1048576,MATCH(G$1,'SAS Data'!$3:$3,0),FALSE)</f>
        <v>73814</v>
      </c>
      <c r="H19" s="28">
        <f>+CNA_Sample[[#This Row],[Cna Cph]]*CNA_Sample[[#This Row],[Cna Hrsn]]</f>
        <v>1763801</v>
      </c>
      <c r="I19" s="26">
        <v>25</v>
      </c>
      <c r="J19" s="29">
        <v>19.420000000000002</v>
      </c>
      <c r="K19" s="29">
        <v>23.03</v>
      </c>
      <c r="L19" s="29">
        <v>21.54</v>
      </c>
      <c r="M19" s="29">
        <v>21.375600000000009</v>
      </c>
      <c r="N19" s="26">
        <f>COUNTIFS('CNA Detail'!$A:$A,$A19,'CNA Detail'!$C:$C,"&lt;"&amp;L19)</f>
        <v>12</v>
      </c>
      <c r="O19" s="26">
        <f>COUNTIFS('CNA Detail'!$A:$A,$A19,'CNA Detail'!$C:$C,"&lt;"&amp;M19)</f>
        <v>11</v>
      </c>
      <c r="P19" s="26">
        <f>COUNTIFS('CNA Detail'!$A:$A,$A19,'CNA Detail'!$C:$C,"&lt;"&amp;$AD$1)</f>
        <v>25</v>
      </c>
      <c r="Q19" s="26">
        <f>COUNTIFS('CNA Detail'!$A:$A,$A19,'CNA Detail'!$C:$C,"&lt;"&amp;$AD$2)</f>
        <v>6</v>
      </c>
      <c r="R19" s="26">
        <f>COUNTIFS('CNA Detail'!$A:$A,$A19,'CNA Detail'!$C:$C,"&lt;"&amp;$AD$3)</f>
        <v>6</v>
      </c>
      <c r="S19" s="28">
        <f>+CNA_Sample[[#This Row],[CNA median]]*CNA_Sample[[#This Row],[Cna Hrsn]]</f>
        <v>1589953.5599999998</v>
      </c>
      <c r="T19" s="28">
        <f>+CNA_Sample[[#This Row],[CNA average]]*CNA_Sample[[#This Row],[Cna Hrsn]]</f>
        <v>1577818.5384000007</v>
      </c>
      <c r="U19" s="30">
        <f>CNA_Sample[[#This Row],[Est median wage cost ]]/CNA_Sample[[#This Row],[Cost]]</f>
        <v>0.90143591028693137</v>
      </c>
      <c r="V19" s="30">
        <f>CNA_Sample[[#This Row],[Est average wage cost]]/CNA_Sample[[#This Row],[Cost]]</f>
        <v>0.89455587019170568</v>
      </c>
      <c r="W19" s="30">
        <f>+CNA_Sample[[#This Row],[CNA min.]]/CNA_Sample[[#This Row],[CNA median]]</f>
        <v>0.90157845868152287</v>
      </c>
      <c r="X19" s="30">
        <f>+CNA_Sample[[#This Row],[CNA max]]/CNA_Sample[[#This Row],[CNA median]]</f>
        <v>1.0691736304549675</v>
      </c>
      <c r="Y19" s="26">
        <f>VLOOKUP(A19,Summary!$1:$1048576,2,FALSE)</f>
        <v>3</v>
      </c>
    </row>
    <row r="20" spans="1:25" x14ac:dyDescent="0.55000000000000004">
      <c r="A20" s="26">
        <v>277</v>
      </c>
      <c r="B20" s="26" t="s">
        <v>54</v>
      </c>
      <c r="C20" s="26">
        <f>VLOOKUP($A20,'SAS Data'!$1:$1048576,MATCH(C$1,'SAS Data'!$3:$3,0),FALSE)</f>
        <v>11</v>
      </c>
      <c r="D20" s="26">
        <f>VLOOKUP($A20,'SAS Data'!$1:$1048576,MATCH(D$1,'SAS Data'!$3:$3,0),FALSE)</f>
        <v>11</v>
      </c>
      <c r="E20" s="26">
        <f t="shared" si="0"/>
        <v>22</v>
      </c>
      <c r="F20" s="27">
        <f>VLOOKUP($A20,'SAS Data'!$1:$1048576,MATCH(F$1,'SAS Data'!$3:$3,0),FALSE)</f>
        <v>31.625192090974288</v>
      </c>
      <c r="G20" s="28">
        <f>VLOOKUP($A20,'SAS Data'!$1:$1048576,MATCH(G$1,'SAS Data'!$3:$3,0),FALSE)</f>
        <v>19522</v>
      </c>
      <c r="H20" s="28">
        <f>+CNA_Sample[[#This Row],[Cna Cph]]*CNA_Sample[[#This Row],[Cna Hrsn]]</f>
        <v>617387</v>
      </c>
      <c r="I20" s="26">
        <v>22</v>
      </c>
      <c r="J20" s="29">
        <v>19</v>
      </c>
      <c r="K20" s="29">
        <v>27.792000000000002</v>
      </c>
      <c r="L20" s="29">
        <v>21.7698</v>
      </c>
      <c r="M20" s="29">
        <v>21.75702272727273</v>
      </c>
      <c r="N20" s="26">
        <f>COUNTIFS('CNA Detail'!$A:$A,$A20,'CNA Detail'!$C:$C,"&lt;"&amp;L20)</f>
        <v>11</v>
      </c>
      <c r="O20" s="26">
        <f>COUNTIFS('CNA Detail'!$A:$A,$A20,'CNA Detail'!$C:$C,"&lt;"&amp;M20)</f>
        <v>11</v>
      </c>
      <c r="P20" s="26">
        <f>COUNTIFS('CNA Detail'!$A:$A,$A20,'CNA Detail'!$C:$C,"&lt;"&amp;$AD$1)</f>
        <v>18</v>
      </c>
      <c r="Q20" s="26">
        <f>COUNTIFS('CNA Detail'!$A:$A,$A20,'CNA Detail'!$C:$C,"&lt;"&amp;$AD$2)</f>
        <v>10</v>
      </c>
      <c r="R20" s="26">
        <f>COUNTIFS('CNA Detail'!$A:$A,$A20,'CNA Detail'!$C:$C,"&lt;"&amp;$AD$3)</f>
        <v>10</v>
      </c>
      <c r="S20" s="28">
        <f>+CNA_Sample[[#This Row],[CNA median]]*CNA_Sample[[#This Row],[Cna Hrsn]]</f>
        <v>424990.0356</v>
      </c>
      <c r="T20" s="28">
        <f>+CNA_Sample[[#This Row],[CNA average]]*CNA_Sample[[#This Row],[Cna Hrsn]]</f>
        <v>424740.59768181824</v>
      </c>
      <c r="U20" s="30">
        <f>CNA_Sample[[#This Row],[Est median wage cost ]]/CNA_Sample[[#This Row],[Cost]]</f>
        <v>0.68836894136092919</v>
      </c>
      <c r="V20" s="30">
        <f>CNA_Sample[[#This Row],[Est average wage cost]]/CNA_Sample[[#This Row],[Cost]]</f>
        <v>0.68796491938090409</v>
      </c>
      <c r="W20" s="30">
        <f>+CNA_Sample[[#This Row],[CNA min.]]/CNA_Sample[[#This Row],[CNA median]]</f>
        <v>0.87276869792097311</v>
      </c>
      <c r="X20" s="30">
        <f>+CNA_Sample[[#This Row],[CNA max]]/CNA_Sample[[#This Row],[CNA median]]</f>
        <v>1.2766309290852467</v>
      </c>
      <c r="Y20" s="26">
        <f>VLOOKUP(A20,Summary!$1:$1048576,2,FALSE)</f>
        <v>1</v>
      </c>
    </row>
    <row r="21" spans="1:25" x14ac:dyDescent="0.55000000000000004">
      <c r="A21" s="26">
        <v>288</v>
      </c>
      <c r="B21" s="26" t="s">
        <v>54</v>
      </c>
      <c r="C21" s="26">
        <f>VLOOKUP($A21,'SAS Data'!$1:$1048576,MATCH(C$1,'SAS Data'!$3:$3,0),FALSE)</f>
        <v>7</v>
      </c>
      <c r="D21" s="26">
        <f>VLOOKUP($A21,'SAS Data'!$1:$1048576,MATCH(D$1,'SAS Data'!$3:$3,0),FALSE)</f>
        <v>6</v>
      </c>
      <c r="E21" s="26">
        <f t="shared" si="0"/>
        <v>13</v>
      </c>
      <c r="F21" s="27">
        <f>VLOOKUP($A21,'SAS Data'!$1:$1048576,MATCH(F$1,'SAS Data'!$3:$3,0),FALSE)</f>
        <v>24.592852515655366</v>
      </c>
      <c r="G21" s="28">
        <f>VLOOKUP($A21,'SAS Data'!$1:$1048576,MATCH(G$1,'SAS Data'!$3:$3,0),FALSE)</f>
        <v>27786</v>
      </c>
      <c r="H21" s="28">
        <f>+CNA_Sample[[#This Row],[Cna Cph]]*CNA_Sample[[#This Row],[Cna Hrsn]]</f>
        <v>683337</v>
      </c>
      <c r="I21" s="26">
        <v>13</v>
      </c>
      <c r="J21" s="29">
        <v>18.25</v>
      </c>
      <c r="K21" s="29">
        <v>24.01</v>
      </c>
      <c r="L21" s="29">
        <v>22.24</v>
      </c>
      <c r="M21" s="29">
        <v>21.653846153846157</v>
      </c>
      <c r="N21" s="26">
        <f>COUNTIFS('CNA Detail'!$A:$A,$A21,'CNA Detail'!$C:$C,"&lt;"&amp;L21)</f>
        <v>6</v>
      </c>
      <c r="O21" s="26">
        <f>COUNTIFS('CNA Detail'!$A:$A,$A21,'CNA Detail'!$C:$C,"&lt;"&amp;M21)</f>
        <v>5</v>
      </c>
      <c r="P21" s="26">
        <f>COUNTIFS('CNA Detail'!$A:$A,$A21,'CNA Detail'!$C:$C,"&lt;"&amp;$AD$1)</f>
        <v>13</v>
      </c>
      <c r="Q21" s="26">
        <f>COUNTIFS('CNA Detail'!$A:$A,$A21,'CNA Detail'!$C:$C,"&lt;"&amp;$AD$2)</f>
        <v>5</v>
      </c>
      <c r="R21" s="26">
        <f>COUNTIFS('CNA Detail'!$A:$A,$A21,'CNA Detail'!$C:$C,"&lt;"&amp;$AD$3)</f>
        <v>5</v>
      </c>
      <c r="S21" s="28">
        <f>+CNA_Sample[[#This Row],[CNA median]]*CNA_Sample[[#This Row],[Cna Hrsn]]</f>
        <v>617960.64</v>
      </c>
      <c r="T21" s="28">
        <f>+CNA_Sample[[#This Row],[CNA average]]*CNA_Sample[[#This Row],[Cna Hrsn]]</f>
        <v>601673.76923076937</v>
      </c>
      <c r="U21" s="30">
        <f>CNA_Sample[[#This Row],[Est median wage cost ]]/CNA_Sample[[#This Row],[Cost]]</f>
        <v>0.90432779141185093</v>
      </c>
      <c r="V21" s="30">
        <f>CNA_Sample[[#This Row],[Est average wage cost]]/CNA_Sample[[#This Row],[Cost]]</f>
        <v>0.88049347427516633</v>
      </c>
      <c r="W21" s="30">
        <f>+CNA_Sample[[#This Row],[CNA min.]]/CNA_Sample[[#This Row],[CNA median]]</f>
        <v>0.82059352517985618</v>
      </c>
      <c r="X21" s="30">
        <f>+CNA_Sample[[#This Row],[CNA max]]/CNA_Sample[[#This Row],[CNA median]]</f>
        <v>1.079586330935252</v>
      </c>
      <c r="Y21" s="26">
        <f>VLOOKUP(A21,Summary!$1:$1048576,2,FALSE)</f>
        <v>3</v>
      </c>
    </row>
    <row r="22" spans="1:25" x14ac:dyDescent="0.55000000000000004">
      <c r="A22" s="26">
        <v>313</v>
      </c>
      <c r="B22" s="26" t="s">
        <v>54</v>
      </c>
      <c r="C22" s="26">
        <f>VLOOKUP($A22,'SAS Data'!$1:$1048576,MATCH(C$1,'SAS Data'!$3:$3,0),FALSE)</f>
        <v>9</v>
      </c>
      <c r="D22" s="26">
        <f>VLOOKUP($A22,'SAS Data'!$1:$1048576,MATCH(D$1,'SAS Data'!$3:$3,0),FALSE)</f>
        <v>7</v>
      </c>
      <c r="E22" s="26">
        <f t="shared" si="0"/>
        <v>16</v>
      </c>
      <c r="F22" s="27">
        <f>VLOOKUP($A22,'SAS Data'!$1:$1048576,MATCH(F$1,'SAS Data'!$3:$3,0),FALSE)</f>
        <v>21.762599640010283</v>
      </c>
      <c r="G22" s="28">
        <f>VLOOKUP($A22,'SAS Data'!$1:$1048576,MATCH(G$1,'SAS Data'!$3:$3,0),FALSE)</f>
        <v>31112</v>
      </c>
      <c r="H22" s="28">
        <f>+CNA_Sample[[#This Row],[Cna Cph]]*CNA_Sample[[#This Row],[Cna Hrsn]]</f>
        <v>677077.99999999988</v>
      </c>
      <c r="I22" s="26">
        <v>31</v>
      </c>
      <c r="J22" s="29">
        <v>16.78</v>
      </c>
      <c r="K22" s="29">
        <v>18.974</v>
      </c>
      <c r="L22" s="29">
        <v>17.690000000000001</v>
      </c>
      <c r="M22" s="29">
        <v>17.656706451612902</v>
      </c>
      <c r="N22" s="26">
        <f>COUNTIFS('CNA Detail'!$A:$A,$A22,'CNA Detail'!$C:$C,"&lt;"&amp;L22)</f>
        <v>14</v>
      </c>
      <c r="O22" s="26">
        <f>COUNTIFS('CNA Detail'!$A:$A,$A22,'CNA Detail'!$C:$C,"&lt;"&amp;M22)</f>
        <v>14</v>
      </c>
      <c r="P22" s="26">
        <f>COUNTIFS('CNA Detail'!$A:$A,$A22,'CNA Detail'!$C:$C,"&lt;"&amp;$AD$1)</f>
        <v>31</v>
      </c>
      <c r="Q22" s="26">
        <f>COUNTIFS('CNA Detail'!$A:$A,$A22,'CNA Detail'!$C:$C,"&lt;"&amp;$AD$2)</f>
        <v>31</v>
      </c>
      <c r="R22" s="26">
        <f>COUNTIFS('CNA Detail'!$A:$A,$A22,'CNA Detail'!$C:$C,"&lt;"&amp;$AD$3)</f>
        <v>31</v>
      </c>
      <c r="S22" s="28">
        <f>+CNA_Sample[[#This Row],[CNA median]]*CNA_Sample[[#This Row],[Cna Hrsn]]</f>
        <v>550371.28</v>
      </c>
      <c r="T22" s="28">
        <f>+CNA_Sample[[#This Row],[CNA average]]*CNA_Sample[[#This Row],[Cna Hrsn]]</f>
        <v>549335.45112258056</v>
      </c>
      <c r="U22" s="30">
        <f>CNA_Sample[[#This Row],[Est median wage cost ]]/CNA_Sample[[#This Row],[Cost]]</f>
        <v>0.81286244716266087</v>
      </c>
      <c r="V22" s="30">
        <f>CNA_Sample[[#This Row],[Est average wage cost]]/CNA_Sample[[#This Row],[Cost]]</f>
        <v>0.81133259553933323</v>
      </c>
      <c r="W22" s="30">
        <f>+CNA_Sample[[#This Row],[CNA min.]]/CNA_Sample[[#This Row],[CNA median]]</f>
        <v>0.94855850763143024</v>
      </c>
      <c r="X22" s="30">
        <f>+CNA_Sample[[#This Row],[CNA max]]/CNA_Sample[[#This Row],[CNA median]]</f>
        <v>1.072583380440927</v>
      </c>
      <c r="Y22" s="26">
        <f>VLOOKUP(A22,Summary!$1:$1048576,2,FALSE)</f>
        <v>2</v>
      </c>
    </row>
    <row r="23" spans="1:25" x14ac:dyDescent="0.55000000000000004">
      <c r="A23" s="26">
        <v>315</v>
      </c>
      <c r="B23" s="26" t="s">
        <v>54</v>
      </c>
      <c r="C23" s="26">
        <f>VLOOKUP($A23,'SAS Data'!$1:$1048576,MATCH(C$1,'SAS Data'!$3:$3,0),FALSE)</f>
        <v>23</v>
      </c>
      <c r="D23" s="26">
        <f>VLOOKUP($A23,'SAS Data'!$1:$1048576,MATCH(D$1,'SAS Data'!$3:$3,0),FALSE)</f>
        <v>9</v>
      </c>
      <c r="E23" s="26">
        <f t="shared" si="0"/>
        <v>32</v>
      </c>
      <c r="F23" s="27">
        <f>VLOOKUP($A23,'SAS Data'!$1:$1048576,MATCH(F$1,'SAS Data'!$3:$3,0),FALSE)</f>
        <v>28.561716753862999</v>
      </c>
      <c r="G23" s="28">
        <f>VLOOKUP($A23,'SAS Data'!$1:$1048576,MATCH(G$1,'SAS Data'!$3:$3,0),FALSE)</f>
        <v>32876</v>
      </c>
      <c r="H23" s="28">
        <f>+CNA_Sample[[#This Row],[Cna Cph]]*CNA_Sample[[#This Row],[Cna Hrsn]]</f>
        <v>938995</v>
      </c>
      <c r="I23" s="26">
        <v>33</v>
      </c>
      <c r="J23" s="29">
        <v>16.940000000000001</v>
      </c>
      <c r="K23" s="29">
        <v>25.9</v>
      </c>
      <c r="L23" s="29">
        <v>17.45</v>
      </c>
      <c r="M23" s="29">
        <v>18.674848484848479</v>
      </c>
      <c r="N23" s="26">
        <f>COUNTIFS('CNA Detail'!$A:$A,$A23,'CNA Detail'!$C:$C,"&lt;"&amp;L23)</f>
        <v>15</v>
      </c>
      <c r="O23" s="26">
        <f>COUNTIFS('CNA Detail'!$A:$A,$A23,'CNA Detail'!$C:$C,"&lt;"&amp;M23)</f>
        <v>26</v>
      </c>
      <c r="P23" s="26">
        <f>COUNTIFS('CNA Detail'!$A:$A,$A23,'CNA Detail'!$C:$C,"&lt;"&amp;$AD$1)</f>
        <v>29</v>
      </c>
      <c r="Q23" s="26">
        <f>COUNTIFS('CNA Detail'!$A:$A,$A23,'CNA Detail'!$C:$C,"&lt;"&amp;$AD$2)</f>
        <v>27</v>
      </c>
      <c r="R23" s="26">
        <f>COUNTIFS('CNA Detail'!$A:$A,$A23,'CNA Detail'!$C:$C,"&lt;"&amp;$AD$3)</f>
        <v>27</v>
      </c>
      <c r="S23" s="28">
        <f>+CNA_Sample[[#This Row],[CNA median]]*CNA_Sample[[#This Row],[Cna Hrsn]]</f>
        <v>573686.19999999995</v>
      </c>
      <c r="T23" s="28">
        <f>+CNA_Sample[[#This Row],[CNA average]]*CNA_Sample[[#This Row],[Cna Hrsn]]</f>
        <v>613954.31878787861</v>
      </c>
      <c r="U23" s="30">
        <f>CNA_Sample[[#This Row],[Est median wage cost ]]/CNA_Sample[[#This Row],[Cost]]</f>
        <v>0.61095767283105873</v>
      </c>
      <c r="V23" s="30">
        <f>CNA_Sample[[#This Row],[Est average wage cost]]/CNA_Sample[[#This Row],[Cost]]</f>
        <v>0.65384194674932095</v>
      </c>
      <c r="W23" s="30">
        <f>+CNA_Sample[[#This Row],[CNA min.]]/CNA_Sample[[#This Row],[CNA median]]</f>
        <v>0.97077363896848146</v>
      </c>
      <c r="X23" s="30">
        <f>+CNA_Sample[[#This Row],[CNA max]]/CNA_Sample[[#This Row],[CNA median]]</f>
        <v>1.484240687679083</v>
      </c>
      <c r="Y23" s="26">
        <f>VLOOKUP(A23,Summary!$1:$1048576,2,FALSE)</f>
        <v>2</v>
      </c>
    </row>
    <row r="24" spans="1:25" x14ac:dyDescent="0.55000000000000004">
      <c r="A24" s="26">
        <v>316</v>
      </c>
      <c r="B24" s="26" t="s">
        <v>54</v>
      </c>
      <c r="C24" s="26">
        <f>VLOOKUP($A24,'SAS Data'!$1:$1048576,MATCH(C$1,'SAS Data'!$3:$3,0),FALSE)</f>
        <v>15</v>
      </c>
      <c r="D24" s="26">
        <f>VLOOKUP($A24,'SAS Data'!$1:$1048576,MATCH(D$1,'SAS Data'!$3:$3,0),FALSE)</f>
        <v>17</v>
      </c>
      <c r="E24" s="26">
        <f t="shared" si="0"/>
        <v>32</v>
      </c>
      <c r="F24" s="27">
        <f>VLOOKUP($A24,'SAS Data'!$1:$1048576,MATCH(F$1,'SAS Data'!$3:$3,0),FALSE)</f>
        <v>22.307707180317568</v>
      </c>
      <c r="G24" s="28">
        <f>VLOOKUP($A24,'SAS Data'!$1:$1048576,MATCH(G$1,'SAS Data'!$3:$3,0),FALSE)</f>
        <v>41377</v>
      </c>
      <c r="H24" s="28">
        <f>+CNA_Sample[[#This Row],[Cna Cph]]*CNA_Sample[[#This Row],[Cna Hrsn]]</f>
        <v>923026</v>
      </c>
      <c r="I24" s="26">
        <v>36</v>
      </c>
      <c r="J24" s="29">
        <v>20</v>
      </c>
      <c r="K24" s="29">
        <v>26.5</v>
      </c>
      <c r="L24" s="29">
        <v>23</v>
      </c>
      <c r="M24" s="29">
        <v>23.283055555555556</v>
      </c>
      <c r="N24" s="26">
        <f>COUNTIFS('CNA Detail'!$A:$A,$A24,'CNA Detail'!$C:$C,"&lt;"&amp;L24)</f>
        <v>6</v>
      </c>
      <c r="O24" s="26">
        <f>COUNTIFS('CNA Detail'!$A:$A,$A24,'CNA Detail'!$C:$C,"&lt;"&amp;M24)</f>
        <v>21</v>
      </c>
      <c r="P24" s="26">
        <f>COUNTIFS('CNA Detail'!$A:$A,$A24,'CNA Detail'!$C:$C,"&lt;"&amp;$AD$1)</f>
        <v>33</v>
      </c>
      <c r="Q24" s="26">
        <f>COUNTIFS('CNA Detail'!$A:$A,$A24,'CNA Detail'!$C:$C,"&lt;"&amp;$AD$2)</f>
        <v>1</v>
      </c>
      <c r="R24" s="26">
        <f>COUNTIFS('CNA Detail'!$A:$A,$A24,'CNA Detail'!$C:$C,"&lt;"&amp;$AD$3)</f>
        <v>1</v>
      </c>
      <c r="S24" s="28">
        <f>+CNA_Sample[[#This Row],[CNA median]]*CNA_Sample[[#This Row],[Cna Hrsn]]</f>
        <v>951671</v>
      </c>
      <c r="T24" s="28">
        <f>+CNA_Sample[[#This Row],[CNA average]]*CNA_Sample[[#This Row],[Cna Hrsn]]</f>
        <v>963382.98972222221</v>
      </c>
      <c r="U24" s="30">
        <f>CNA_Sample[[#This Row],[Est median wage cost ]]/CNA_Sample[[#This Row],[Cost]]</f>
        <v>1.0310337953643776</v>
      </c>
      <c r="V24" s="30">
        <f>CNA_Sample[[#This Row],[Est average wage cost]]/CNA_Sample[[#This Row],[Cost]]</f>
        <v>1.043722484222787</v>
      </c>
      <c r="W24" s="30">
        <f>+CNA_Sample[[#This Row],[CNA min.]]/CNA_Sample[[#This Row],[CNA median]]</f>
        <v>0.86956521739130432</v>
      </c>
      <c r="X24" s="30">
        <f>+CNA_Sample[[#This Row],[CNA max]]/CNA_Sample[[#This Row],[CNA median]]</f>
        <v>1.1521739130434783</v>
      </c>
      <c r="Y24" s="26">
        <f>VLOOKUP(A24,Summary!$1:$1048576,2,FALSE)</f>
        <v>3</v>
      </c>
    </row>
    <row r="25" spans="1:25" x14ac:dyDescent="0.55000000000000004">
      <c r="A25" s="26">
        <v>318</v>
      </c>
      <c r="B25" s="26" t="s">
        <v>54</v>
      </c>
      <c r="C25" s="26">
        <f>VLOOKUP($A25,'SAS Data'!$1:$1048576,MATCH(C$1,'SAS Data'!$3:$3,0),FALSE)</f>
        <v>20</v>
      </c>
      <c r="D25" s="26">
        <f>VLOOKUP($A25,'SAS Data'!$1:$1048576,MATCH(D$1,'SAS Data'!$3:$3,0),FALSE)</f>
        <v>8</v>
      </c>
      <c r="E25" s="26">
        <f t="shared" si="0"/>
        <v>28</v>
      </c>
      <c r="F25" s="27">
        <f>VLOOKUP($A25,'SAS Data'!$1:$1048576,MATCH(F$1,'SAS Data'!$3:$3,0),FALSE)</f>
        <v>25.162562705304168</v>
      </c>
      <c r="G25" s="28">
        <f>VLOOKUP($A25,'SAS Data'!$1:$1048576,MATCH(G$1,'SAS Data'!$3:$3,0),FALSE)</f>
        <v>39271</v>
      </c>
      <c r="H25" s="28">
        <f>+CNA_Sample[[#This Row],[Cna Cph]]*CNA_Sample[[#This Row],[Cna Hrsn]]</f>
        <v>988159</v>
      </c>
      <c r="I25" s="26">
        <v>25</v>
      </c>
      <c r="J25" s="29">
        <v>18.5</v>
      </c>
      <c r="K25" s="29">
        <v>22.44</v>
      </c>
      <c r="L25" s="29">
        <v>20</v>
      </c>
      <c r="M25" s="29">
        <v>20.374400000000001</v>
      </c>
      <c r="N25" s="26">
        <f>COUNTIFS('CNA Detail'!$A:$A,$A25,'CNA Detail'!$C:$C,"&lt;"&amp;L25)</f>
        <v>11</v>
      </c>
      <c r="O25" s="26">
        <f>COUNTIFS('CNA Detail'!$A:$A,$A25,'CNA Detail'!$C:$C,"&lt;"&amp;M25)</f>
        <v>15</v>
      </c>
      <c r="P25" s="26">
        <f>COUNTIFS('CNA Detail'!$A:$A,$A25,'CNA Detail'!$C:$C,"&lt;"&amp;$AD$1)</f>
        <v>25</v>
      </c>
      <c r="Q25" s="26">
        <f>COUNTIFS('CNA Detail'!$A:$A,$A25,'CNA Detail'!$C:$C,"&lt;"&amp;$AD$2)</f>
        <v>17</v>
      </c>
      <c r="R25" s="26">
        <f>COUNTIFS('CNA Detail'!$A:$A,$A25,'CNA Detail'!$C:$C,"&lt;"&amp;$AD$3)</f>
        <v>17</v>
      </c>
      <c r="S25" s="28">
        <f>+CNA_Sample[[#This Row],[CNA median]]*CNA_Sample[[#This Row],[Cna Hrsn]]</f>
        <v>785420</v>
      </c>
      <c r="T25" s="28">
        <f>+CNA_Sample[[#This Row],[CNA average]]*CNA_Sample[[#This Row],[Cna Hrsn]]</f>
        <v>800123.06240000005</v>
      </c>
      <c r="U25" s="30">
        <f>CNA_Sample[[#This Row],[Est median wage cost ]]/CNA_Sample[[#This Row],[Cost]]</f>
        <v>0.79483160098729055</v>
      </c>
      <c r="V25" s="30">
        <f>CNA_Sample[[#This Row],[Est average wage cost]]/CNA_Sample[[#This Row],[Cost]]</f>
        <v>0.80971084855777264</v>
      </c>
      <c r="W25" s="30">
        <f>+CNA_Sample[[#This Row],[CNA min.]]/CNA_Sample[[#This Row],[CNA median]]</f>
        <v>0.92500000000000004</v>
      </c>
      <c r="X25" s="30">
        <f>+CNA_Sample[[#This Row],[CNA max]]/CNA_Sample[[#This Row],[CNA median]]</f>
        <v>1.1220000000000001</v>
      </c>
      <c r="Y25" s="26">
        <f>VLOOKUP(A25,Summary!$1:$1048576,2,FALSE)</f>
        <v>2</v>
      </c>
    </row>
    <row r="26" spans="1:25" x14ac:dyDescent="0.55000000000000004">
      <c r="A26" s="26">
        <v>319</v>
      </c>
      <c r="B26" s="26" t="s">
        <v>54</v>
      </c>
      <c r="C26" s="26">
        <f>VLOOKUP($A26,'SAS Data'!$1:$1048576,MATCH(C$1,'SAS Data'!$3:$3,0),FALSE)</f>
        <v>12</v>
      </c>
      <c r="D26" s="26">
        <f>VLOOKUP($A26,'SAS Data'!$1:$1048576,MATCH(D$1,'SAS Data'!$3:$3,0),FALSE)</f>
        <v>8</v>
      </c>
      <c r="E26" s="26">
        <f t="shared" si="0"/>
        <v>20</v>
      </c>
      <c r="F26" s="27">
        <f>VLOOKUP($A26,'SAS Data'!$1:$1048576,MATCH(F$1,'SAS Data'!$3:$3,0),FALSE)</f>
        <v>27.0065330625938</v>
      </c>
      <c r="G26" s="28">
        <f>VLOOKUP($A26,'SAS Data'!$1:$1048576,MATCH(G$1,'SAS Data'!$3:$3,0),FALSE)</f>
        <v>45308</v>
      </c>
      <c r="H26" s="28">
        <f>+CNA_Sample[[#This Row],[Cna Cph]]*CNA_Sample[[#This Row],[Cna Hrsn]]</f>
        <v>1223611.9999999998</v>
      </c>
      <c r="I26" s="26">
        <v>25</v>
      </c>
      <c r="J26" s="29">
        <v>16.5</v>
      </c>
      <c r="K26" s="29">
        <v>23</v>
      </c>
      <c r="L26" s="29">
        <v>20</v>
      </c>
      <c r="M26" s="29">
        <v>19.98</v>
      </c>
      <c r="N26" s="26">
        <f>COUNTIFS('CNA Detail'!$A:$A,$A26,'CNA Detail'!$C:$C,"&lt;"&amp;L26)</f>
        <v>9</v>
      </c>
      <c r="O26" s="26">
        <f>COUNTIFS('CNA Detail'!$A:$A,$A26,'CNA Detail'!$C:$C,"&lt;"&amp;M26)</f>
        <v>9</v>
      </c>
      <c r="P26" s="26">
        <f>COUNTIFS('CNA Detail'!$A:$A,$A26,'CNA Detail'!$C:$C,"&lt;"&amp;$AD$1)</f>
        <v>25</v>
      </c>
      <c r="Q26" s="26">
        <f>COUNTIFS('CNA Detail'!$A:$A,$A26,'CNA Detail'!$C:$C,"&lt;"&amp;$AD$2)</f>
        <v>14</v>
      </c>
      <c r="R26" s="26">
        <f>COUNTIFS('CNA Detail'!$A:$A,$A26,'CNA Detail'!$C:$C,"&lt;"&amp;$AD$3)</f>
        <v>14</v>
      </c>
      <c r="S26" s="28">
        <f>+CNA_Sample[[#This Row],[CNA median]]*CNA_Sample[[#This Row],[Cna Hrsn]]</f>
        <v>906160</v>
      </c>
      <c r="T26" s="28">
        <f>+CNA_Sample[[#This Row],[CNA average]]*CNA_Sample[[#This Row],[Cna Hrsn]]</f>
        <v>905253.84</v>
      </c>
      <c r="U26" s="30">
        <f>CNA_Sample[[#This Row],[Est median wage cost ]]/CNA_Sample[[#This Row],[Cost]]</f>
        <v>0.740561550556876</v>
      </c>
      <c r="V26" s="30">
        <f>CNA_Sample[[#This Row],[Est average wage cost]]/CNA_Sample[[#This Row],[Cost]]</f>
        <v>0.7398209890063191</v>
      </c>
      <c r="W26" s="30">
        <f>+CNA_Sample[[#This Row],[CNA min.]]/CNA_Sample[[#This Row],[CNA median]]</f>
        <v>0.82499999999999996</v>
      </c>
      <c r="X26" s="30">
        <f>+CNA_Sample[[#This Row],[CNA max]]/CNA_Sample[[#This Row],[CNA median]]</f>
        <v>1.1499999999999999</v>
      </c>
      <c r="Y26" s="26">
        <f>VLOOKUP(A26,Summary!$1:$1048576,2,FALSE)</f>
        <v>3</v>
      </c>
    </row>
    <row r="27" spans="1:25" x14ac:dyDescent="0.55000000000000004">
      <c r="A27" s="26">
        <v>336</v>
      </c>
      <c r="B27" s="26" t="s">
        <v>54</v>
      </c>
      <c r="C27" s="26">
        <f>VLOOKUP($A27,'SAS Data'!$1:$1048576,MATCH(C$1,'SAS Data'!$3:$3,0),FALSE)</f>
        <v>14</v>
      </c>
      <c r="D27" s="26">
        <f>VLOOKUP($A27,'SAS Data'!$1:$1048576,MATCH(D$1,'SAS Data'!$3:$3,0),FALSE)</f>
        <v>6</v>
      </c>
      <c r="E27" s="26">
        <f t="shared" si="0"/>
        <v>20</v>
      </c>
      <c r="F27" s="27">
        <f>VLOOKUP($A27,'SAS Data'!$1:$1048576,MATCH(F$1,'SAS Data'!$3:$3,0),FALSE)</f>
        <v>26.706727468863392</v>
      </c>
      <c r="G27" s="28">
        <f>VLOOKUP($A27,'SAS Data'!$1:$1048576,MATCH(G$1,'SAS Data'!$3:$3,0),FALSE)</f>
        <v>40788</v>
      </c>
      <c r="H27" s="28">
        <f>+CNA_Sample[[#This Row],[Cna Cph]]*CNA_Sample[[#This Row],[Cna Hrsn]]</f>
        <v>1089314</v>
      </c>
      <c r="I27" s="26">
        <v>24</v>
      </c>
      <c r="J27" s="29">
        <v>18.62</v>
      </c>
      <c r="K27" s="29">
        <v>23.72</v>
      </c>
      <c r="L27" s="29">
        <v>20.015000000000001</v>
      </c>
      <c r="M27" s="29">
        <v>20.469583333333329</v>
      </c>
      <c r="N27" s="26">
        <f>COUNTIFS('CNA Detail'!$A:$A,$A27,'CNA Detail'!$C:$C,"&lt;"&amp;L27)</f>
        <v>12</v>
      </c>
      <c r="O27" s="26">
        <f>COUNTIFS('CNA Detail'!$A:$A,$A27,'CNA Detail'!$C:$C,"&lt;"&amp;M27)</f>
        <v>16</v>
      </c>
      <c r="P27" s="26">
        <f>COUNTIFS('CNA Detail'!$A:$A,$A27,'CNA Detail'!$C:$C,"&lt;"&amp;$AD$1)</f>
        <v>24</v>
      </c>
      <c r="Q27" s="26">
        <f>COUNTIFS('CNA Detail'!$A:$A,$A27,'CNA Detail'!$C:$C,"&lt;"&amp;$AD$2)</f>
        <v>16</v>
      </c>
      <c r="R27" s="26">
        <f>COUNTIFS('CNA Detail'!$A:$A,$A27,'CNA Detail'!$C:$C,"&lt;"&amp;$AD$3)</f>
        <v>17</v>
      </c>
      <c r="S27" s="28">
        <f>+CNA_Sample[[#This Row],[CNA median]]*CNA_Sample[[#This Row],[Cna Hrsn]]</f>
        <v>816371.82000000007</v>
      </c>
      <c r="T27" s="28">
        <f>+CNA_Sample[[#This Row],[CNA average]]*CNA_Sample[[#This Row],[Cna Hrsn]]</f>
        <v>834913.36499999987</v>
      </c>
      <c r="U27" s="30">
        <f>CNA_Sample[[#This Row],[Est median wage cost ]]/CNA_Sample[[#This Row],[Cost]]</f>
        <v>0.74943663626833046</v>
      </c>
      <c r="V27" s="30">
        <f>CNA_Sample[[#This Row],[Est average wage cost]]/CNA_Sample[[#This Row],[Cost]]</f>
        <v>0.76645794050200389</v>
      </c>
      <c r="W27" s="30">
        <f>+CNA_Sample[[#This Row],[CNA min.]]/CNA_Sample[[#This Row],[CNA median]]</f>
        <v>0.93030227329502879</v>
      </c>
      <c r="X27" s="30">
        <f>+CNA_Sample[[#This Row],[CNA max]]/CNA_Sample[[#This Row],[CNA median]]</f>
        <v>1.1851111666250311</v>
      </c>
      <c r="Y27" s="26">
        <f>VLOOKUP(A27,Summary!$1:$1048576,2,FALSE)</f>
        <v>1</v>
      </c>
    </row>
    <row r="28" spans="1:25" x14ac:dyDescent="0.55000000000000004">
      <c r="A28" s="26">
        <v>346</v>
      </c>
      <c r="B28" s="26" t="s">
        <v>54</v>
      </c>
      <c r="C28" s="26">
        <f>VLOOKUP($A28,'SAS Data'!$1:$1048576,MATCH(C$1,'SAS Data'!$3:$3,0),FALSE)</f>
        <v>5</v>
      </c>
      <c r="D28" s="26">
        <f>VLOOKUP($A28,'SAS Data'!$1:$1048576,MATCH(D$1,'SAS Data'!$3:$3,0),FALSE)</f>
        <v>5</v>
      </c>
      <c r="E28" s="26">
        <f t="shared" si="0"/>
        <v>10</v>
      </c>
      <c r="F28" s="27">
        <f>VLOOKUP($A28,'SAS Data'!$1:$1048576,MATCH(F$1,'SAS Data'!$3:$3,0),FALSE)</f>
        <v>23.914015808752652</v>
      </c>
      <c r="G28" s="28">
        <f>VLOOKUP($A28,'SAS Data'!$1:$1048576,MATCH(G$1,'SAS Data'!$3:$3,0),FALSE)</f>
        <v>15561</v>
      </c>
      <c r="H28" s="28">
        <f>+CNA_Sample[[#This Row],[Cna Cph]]*CNA_Sample[[#This Row],[Cna Hrsn]]</f>
        <v>372126</v>
      </c>
      <c r="I28" s="26">
        <v>10</v>
      </c>
      <c r="J28" s="29">
        <v>22</v>
      </c>
      <c r="K28" s="29">
        <v>25</v>
      </c>
      <c r="L28" s="29">
        <v>24</v>
      </c>
      <c r="M28" s="29">
        <v>23.75</v>
      </c>
      <c r="N28" s="26">
        <f>COUNTIFS('CNA Detail'!$A:$A,$A28,'CNA Detail'!$C:$C,"&lt;"&amp;L28)</f>
        <v>5</v>
      </c>
      <c r="O28" s="26">
        <f>COUNTIFS('CNA Detail'!$A:$A,$A28,'CNA Detail'!$C:$C,"&lt;"&amp;M28)</f>
        <v>5</v>
      </c>
      <c r="P28" s="26">
        <f>COUNTIFS('CNA Detail'!$A:$A,$A28,'CNA Detail'!$C:$C,"&lt;"&amp;$AD$1)</f>
        <v>5</v>
      </c>
      <c r="Q28" s="26">
        <f>COUNTIFS('CNA Detail'!$A:$A,$A28,'CNA Detail'!$C:$C,"&lt;"&amp;$AD$2)</f>
        <v>0</v>
      </c>
      <c r="R28" s="26">
        <f>COUNTIFS('CNA Detail'!$A:$A,$A28,'CNA Detail'!$C:$C,"&lt;"&amp;$AD$3)</f>
        <v>0</v>
      </c>
      <c r="S28" s="28">
        <f>+CNA_Sample[[#This Row],[CNA median]]*CNA_Sample[[#This Row],[Cna Hrsn]]</f>
        <v>373464</v>
      </c>
      <c r="T28" s="28">
        <f>+CNA_Sample[[#This Row],[CNA average]]*CNA_Sample[[#This Row],[Cna Hrsn]]</f>
        <v>369573.75</v>
      </c>
      <c r="U28" s="30">
        <f>CNA_Sample[[#This Row],[Est median wage cost ]]/CNA_Sample[[#This Row],[Cost]]</f>
        <v>1.003595556343819</v>
      </c>
      <c r="V28" s="30">
        <f>CNA_Sample[[#This Row],[Est average wage cost]]/CNA_Sample[[#This Row],[Cost]]</f>
        <v>0.99314143596523763</v>
      </c>
      <c r="W28" s="30">
        <f>+CNA_Sample[[#This Row],[CNA min.]]/CNA_Sample[[#This Row],[CNA median]]</f>
        <v>0.91666666666666663</v>
      </c>
      <c r="X28" s="30">
        <f>+CNA_Sample[[#This Row],[CNA max]]/CNA_Sample[[#This Row],[CNA median]]</f>
        <v>1.0416666666666667</v>
      </c>
      <c r="Y28" s="26">
        <f>VLOOKUP(A28,Summary!$1:$1048576,2,FALSE)</f>
        <v>2</v>
      </c>
    </row>
    <row r="29" spans="1:25" x14ac:dyDescent="0.55000000000000004">
      <c r="A29" s="26">
        <v>351</v>
      </c>
      <c r="B29" s="26" t="s">
        <v>54</v>
      </c>
      <c r="C29" s="26">
        <f>VLOOKUP($A29,'SAS Data'!$1:$1048576,MATCH(C$1,'SAS Data'!$3:$3,0),FALSE)</f>
        <v>34</v>
      </c>
      <c r="D29" s="26">
        <f>VLOOKUP($A29,'SAS Data'!$1:$1048576,MATCH(D$1,'SAS Data'!$3:$3,0),FALSE)</f>
        <v>24</v>
      </c>
      <c r="E29" s="26">
        <f t="shared" si="0"/>
        <v>58</v>
      </c>
      <c r="F29" s="27">
        <f>VLOOKUP($A29,'SAS Data'!$1:$1048576,MATCH(F$1,'SAS Data'!$3:$3,0),FALSE)</f>
        <v>21.334142322097374</v>
      </c>
      <c r="G29" s="28">
        <f>VLOOKUP($A29,'SAS Data'!$1:$1048576,MATCH(G$1,'SAS Data'!$3:$3,0),FALSE)</f>
        <v>100125</v>
      </c>
      <c r="H29" s="28">
        <f>+CNA_Sample[[#This Row],[Cna Cph]]*CNA_Sample[[#This Row],[Cna Hrsn]]</f>
        <v>2136080.9999999995</v>
      </c>
      <c r="I29" s="26">
        <v>59</v>
      </c>
      <c r="J29" s="29">
        <v>17.850000000000001</v>
      </c>
      <c r="K29" s="29">
        <v>22.64</v>
      </c>
      <c r="L29" s="29">
        <v>19.71</v>
      </c>
      <c r="M29" s="29">
        <v>20.198135593220346</v>
      </c>
      <c r="N29" s="26">
        <f>COUNTIFS('CNA Detail'!$A:$A,$A29,'CNA Detail'!$C:$C,"&lt;"&amp;L29)</f>
        <v>27</v>
      </c>
      <c r="O29" s="26">
        <f>COUNTIFS('CNA Detail'!$A:$A,$A29,'CNA Detail'!$C:$C,"&lt;"&amp;M29)</f>
        <v>34</v>
      </c>
      <c r="P29" s="26">
        <f>COUNTIFS('CNA Detail'!$A:$A,$A29,'CNA Detail'!$C:$C,"&lt;"&amp;$AD$1)</f>
        <v>59</v>
      </c>
      <c r="Q29" s="26">
        <f>COUNTIFS('CNA Detail'!$A:$A,$A29,'CNA Detail'!$C:$C,"&lt;"&amp;$AD$2)</f>
        <v>35</v>
      </c>
      <c r="R29" s="26">
        <f>COUNTIFS('CNA Detail'!$A:$A,$A29,'CNA Detail'!$C:$C,"&lt;"&amp;$AD$3)</f>
        <v>35</v>
      </c>
      <c r="S29" s="28">
        <f>+CNA_Sample[[#This Row],[CNA median]]*CNA_Sample[[#This Row],[Cna Hrsn]]</f>
        <v>1973463.75</v>
      </c>
      <c r="T29" s="28">
        <f>+CNA_Sample[[#This Row],[CNA average]]*CNA_Sample[[#This Row],[Cna Hrsn]]</f>
        <v>2022338.3262711873</v>
      </c>
      <c r="U29" s="30">
        <f>CNA_Sample[[#This Row],[Est median wage cost ]]/CNA_Sample[[#This Row],[Cost]]</f>
        <v>0.92387121555783724</v>
      </c>
      <c r="V29" s="30">
        <f>CNA_Sample[[#This Row],[Est average wage cost]]/CNA_Sample[[#This Row],[Cost]]</f>
        <v>0.94675170383107554</v>
      </c>
      <c r="W29" s="30">
        <f>+CNA_Sample[[#This Row],[CNA min.]]/CNA_Sample[[#This Row],[CNA median]]</f>
        <v>0.9056316590563166</v>
      </c>
      <c r="X29" s="30">
        <f>+CNA_Sample[[#This Row],[CNA max]]/CNA_Sample[[#This Row],[CNA median]]</f>
        <v>1.1486555048198883</v>
      </c>
      <c r="Y29" s="26">
        <f>VLOOKUP(A29,Summary!$1:$1048576,2,FALSE)</f>
        <v>2</v>
      </c>
    </row>
    <row r="30" spans="1:25" x14ac:dyDescent="0.55000000000000004">
      <c r="A30" s="26">
        <v>372</v>
      </c>
      <c r="B30" s="26" t="s">
        <v>54</v>
      </c>
      <c r="C30" s="26">
        <f>VLOOKUP($A30,'SAS Data'!$1:$1048576,MATCH(C$1,'SAS Data'!$3:$3,0),FALSE)</f>
        <v>6</v>
      </c>
      <c r="D30" s="26">
        <f>VLOOKUP($A30,'SAS Data'!$1:$1048576,MATCH(D$1,'SAS Data'!$3:$3,0),FALSE)</f>
        <v>34</v>
      </c>
      <c r="E30" s="26">
        <f t="shared" si="0"/>
        <v>40</v>
      </c>
      <c r="F30" s="27">
        <f>VLOOKUP($A30,'SAS Data'!$1:$1048576,MATCH(F$1,'SAS Data'!$3:$3,0),FALSE)</f>
        <v>22.234906500445238</v>
      </c>
      <c r="G30" s="28">
        <f>VLOOKUP($A30,'SAS Data'!$1:$1048576,MATCH(G$1,'SAS Data'!$3:$3,0),FALSE)</f>
        <v>95455</v>
      </c>
      <c r="H30" s="28">
        <f>+CNA_Sample[[#This Row],[Cna Cph]]*CNA_Sample[[#This Row],[Cna Hrsn]]</f>
        <v>2122433</v>
      </c>
      <c r="I30" s="26">
        <v>70</v>
      </c>
      <c r="J30" s="29">
        <v>19.190000000000001</v>
      </c>
      <c r="K30" s="29">
        <v>24.42</v>
      </c>
      <c r="L30" s="29">
        <v>20.880000000000003</v>
      </c>
      <c r="M30" s="29">
        <v>21.12885714285715</v>
      </c>
      <c r="N30" s="26">
        <f>COUNTIFS('CNA Detail'!$A:$A,$A30,'CNA Detail'!$C:$C,"&lt;"&amp;L30)</f>
        <v>35</v>
      </c>
      <c r="O30" s="26">
        <f>COUNTIFS('CNA Detail'!$A:$A,$A30,'CNA Detail'!$C:$C,"&lt;"&amp;M30)</f>
        <v>40</v>
      </c>
      <c r="P30" s="26">
        <f>COUNTIFS('CNA Detail'!$A:$A,$A30,'CNA Detail'!$C:$C,"&lt;"&amp;$AD$1)</f>
        <v>70</v>
      </c>
      <c r="Q30" s="26">
        <f>COUNTIFS('CNA Detail'!$A:$A,$A30,'CNA Detail'!$C:$C,"&lt;"&amp;$AD$2)</f>
        <v>29</v>
      </c>
      <c r="R30" s="26">
        <f>COUNTIFS('CNA Detail'!$A:$A,$A30,'CNA Detail'!$C:$C,"&lt;"&amp;$AD$3)</f>
        <v>34</v>
      </c>
      <c r="S30" s="28">
        <f>+CNA_Sample[[#This Row],[CNA median]]*CNA_Sample[[#This Row],[Cna Hrsn]]</f>
        <v>1993100.4000000001</v>
      </c>
      <c r="T30" s="28">
        <f>+CNA_Sample[[#This Row],[CNA average]]*CNA_Sample[[#This Row],[Cna Hrsn]]</f>
        <v>2016855.0585714292</v>
      </c>
      <c r="U30" s="30">
        <f>CNA_Sample[[#This Row],[Est median wage cost ]]/CNA_Sample[[#This Row],[Cost]]</f>
        <v>0.93906398929907331</v>
      </c>
      <c r="V30" s="30">
        <f>CNA_Sample[[#This Row],[Est average wage cost]]/CNA_Sample[[#This Row],[Cost]]</f>
        <v>0.95025617231329762</v>
      </c>
      <c r="W30" s="30">
        <f>+CNA_Sample[[#This Row],[CNA min.]]/CNA_Sample[[#This Row],[CNA median]]</f>
        <v>0.91906130268199226</v>
      </c>
      <c r="X30" s="30">
        <f>+CNA_Sample[[#This Row],[CNA max]]/CNA_Sample[[#This Row],[CNA median]]</f>
        <v>1.1695402298850575</v>
      </c>
      <c r="Y30" s="26">
        <f>VLOOKUP(A30,Summary!$1:$1048576,2,FALSE)</f>
        <v>3</v>
      </c>
    </row>
    <row r="31" spans="1:25" x14ac:dyDescent="0.55000000000000004">
      <c r="A31" s="26">
        <v>380</v>
      </c>
      <c r="B31" s="26" t="s">
        <v>54</v>
      </c>
      <c r="C31" s="26">
        <f>VLOOKUP($A31,'SAS Data'!$1:$1048576,MATCH(C$1,'SAS Data'!$3:$3,0),FALSE)</f>
        <v>58</v>
      </c>
      <c r="D31" s="26">
        <f>VLOOKUP($A31,'SAS Data'!$1:$1048576,MATCH(D$1,'SAS Data'!$3:$3,0),FALSE)</f>
        <v>13</v>
      </c>
      <c r="E31" s="26">
        <f t="shared" si="0"/>
        <v>71</v>
      </c>
      <c r="F31" s="27">
        <f>VLOOKUP($A31,'SAS Data'!$1:$1048576,MATCH(F$1,'SAS Data'!$3:$3,0),FALSE)</f>
        <v>21.358781141124286</v>
      </c>
      <c r="G31" s="28">
        <f>VLOOKUP($A31,'SAS Data'!$1:$1048576,MATCH(G$1,'SAS Data'!$3:$3,0),FALSE)</f>
        <v>163891</v>
      </c>
      <c r="H31" s="28">
        <f>+CNA_Sample[[#This Row],[Cna Cph]]*CNA_Sample[[#This Row],[Cna Hrsn]]</f>
        <v>3500512.0000000005</v>
      </c>
      <c r="I31" s="26">
        <v>105</v>
      </c>
      <c r="J31" s="29">
        <v>20.07</v>
      </c>
      <c r="K31" s="29">
        <v>25</v>
      </c>
      <c r="L31" s="29">
        <v>24.99</v>
      </c>
      <c r="M31" s="29">
        <v>24.198952380952363</v>
      </c>
      <c r="N31" s="26">
        <f>COUNTIFS('CNA Detail'!$A:$A,$A31,'CNA Detail'!$C:$C,"&lt;"&amp;L31)</f>
        <v>39</v>
      </c>
      <c r="O31" s="26">
        <f>COUNTIFS('CNA Detail'!$A:$A,$A31,'CNA Detail'!$C:$C,"&lt;"&amp;M31)</f>
        <v>39</v>
      </c>
      <c r="P31" s="26">
        <f>COUNTIFS('CNA Detail'!$A:$A,$A31,'CNA Detail'!$C:$C,"&lt;"&amp;$AD$1)</f>
        <v>103</v>
      </c>
      <c r="Q31" s="26">
        <f>COUNTIFS('CNA Detail'!$A:$A,$A31,'CNA Detail'!$C:$C,"&lt;"&amp;$AD$2)</f>
        <v>2</v>
      </c>
      <c r="R31" s="26">
        <f>COUNTIFS('CNA Detail'!$A:$A,$A31,'CNA Detail'!$C:$C,"&lt;"&amp;$AD$3)</f>
        <v>2</v>
      </c>
      <c r="S31" s="28">
        <f>+CNA_Sample[[#This Row],[CNA median]]*CNA_Sample[[#This Row],[Cna Hrsn]]</f>
        <v>4095636.09</v>
      </c>
      <c r="T31" s="28">
        <f>+CNA_Sample[[#This Row],[CNA average]]*CNA_Sample[[#This Row],[Cna Hrsn]]</f>
        <v>3965990.5046666637</v>
      </c>
      <c r="U31" s="30">
        <f>CNA_Sample[[#This Row],[Est median wage cost ]]/CNA_Sample[[#This Row],[Cost]]</f>
        <v>1.1700105841659731</v>
      </c>
      <c r="V31" s="30">
        <f>CNA_Sample[[#This Row],[Est average wage cost]]/CNA_Sample[[#This Row],[Cost]]</f>
        <v>1.1329744062201939</v>
      </c>
      <c r="W31" s="30">
        <f>+CNA_Sample[[#This Row],[CNA min.]]/CNA_Sample[[#This Row],[CNA median]]</f>
        <v>0.80312124849939981</v>
      </c>
      <c r="X31" s="30">
        <f>+CNA_Sample[[#This Row],[CNA max]]/CNA_Sample[[#This Row],[CNA median]]</f>
        <v>1.0004001600640258</v>
      </c>
      <c r="Y31" s="26">
        <f>VLOOKUP(A31,Summary!$1:$1048576,2,FALSE)</f>
        <v>3</v>
      </c>
    </row>
    <row r="32" spans="1:25" x14ac:dyDescent="0.55000000000000004">
      <c r="A32" s="26">
        <v>382</v>
      </c>
      <c r="B32" s="26" t="s">
        <v>54</v>
      </c>
      <c r="C32" s="26">
        <f>VLOOKUP($A32,'SAS Data'!$1:$1048576,MATCH(C$1,'SAS Data'!$3:$3,0),FALSE)</f>
        <v>6</v>
      </c>
      <c r="D32" s="26">
        <f>VLOOKUP($A32,'SAS Data'!$1:$1048576,MATCH(D$1,'SAS Data'!$3:$3,0),FALSE)</f>
        <v>39</v>
      </c>
      <c r="E32" s="26">
        <f t="shared" si="0"/>
        <v>45</v>
      </c>
      <c r="F32" s="27">
        <f>VLOOKUP($A32,'SAS Data'!$1:$1048576,MATCH(F$1,'SAS Data'!$3:$3,0),FALSE)</f>
        <v>20.952356634891814</v>
      </c>
      <c r="G32" s="28">
        <f>VLOOKUP($A32,'SAS Data'!$1:$1048576,MATCH(G$1,'SAS Data'!$3:$3,0),FALSE)</f>
        <v>52872</v>
      </c>
      <c r="H32" s="28">
        <f>+CNA_Sample[[#This Row],[Cna Cph]]*CNA_Sample[[#This Row],[Cna Hrsn]]</f>
        <v>1107793</v>
      </c>
      <c r="I32" s="26">
        <v>56</v>
      </c>
      <c r="J32" s="29">
        <v>17</v>
      </c>
      <c r="K32" s="29">
        <v>20.190000000000001</v>
      </c>
      <c r="L32" s="29">
        <v>17.600000000000001</v>
      </c>
      <c r="M32" s="29">
        <v>17.84178571428572</v>
      </c>
      <c r="N32" s="26">
        <f>COUNTIFS('CNA Detail'!$A:$A,$A32,'CNA Detail'!$C:$C,"&lt;"&amp;L32)</f>
        <v>24</v>
      </c>
      <c r="O32" s="26">
        <f>COUNTIFS('CNA Detail'!$A:$A,$A32,'CNA Detail'!$C:$C,"&lt;"&amp;M32)</f>
        <v>34</v>
      </c>
      <c r="P32" s="26">
        <f>COUNTIFS('CNA Detail'!$A:$A,$A32,'CNA Detail'!$C:$C,"&lt;"&amp;$AD$1)</f>
        <v>56</v>
      </c>
      <c r="Q32" s="26">
        <f>COUNTIFS('CNA Detail'!$A:$A,$A32,'CNA Detail'!$C:$C,"&lt;"&amp;$AD$2)</f>
        <v>56</v>
      </c>
      <c r="R32" s="26">
        <f>COUNTIFS('CNA Detail'!$A:$A,$A32,'CNA Detail'!$C:$C,"&lt;"&amp;$AD$3)</f>
        <v>56</v>
      </c>
      <c r="S32" s="28">
        <f>+CNA_Sample[[#This Row],[CNA median]]*CNA_Sample[[#This Row],[Cna Hrsn]]</f>
        <v>930547.20000000007</v>
      </c>
      <c r="T32" s="28">
        <f>+CNA_Sample[[#This Row],[CNA average]]*CNA_Sample[[#This Row],[Cna Hrsn]]</f>
        <v>943330.8942857146</v>
      </c>
      <c r="U32" s="30">
        <f>CNA_Sample[[#This Row],[Est median wage cost ]]/CNA_Sample[[#This Row],[Cost]]</f>
        <v>0.84000097491137793</v>
      </c>
      <c r="V32" s="30">
        <f>CNA_Sample[[#This Row],[Est average wage cost]]/CNA_Sample[[#This Row],[Cost]]</f>
        <v>0.85154076103181242</v>
      </c>
      <c r="W32" s="30">
        <f>+CNA_Sample[[#This Row],[CNA min.]]/CNA_Sample[[#This Row],[CNA median]]</f>
        <v>0.96590909090909083</v>
      </c>
      <c r="X32" s="30">
        <f>+CNA_Sample[[#This Row],[CNA max]]/CNA_Sample[[#This Row],[CNA median]]</f>
        <v>1.147159090909091</v>
      </c>
      <c r="Y32" s="26">
        <f>VLOOKUP(A32,Summary!$1:$1048576,2,FALSE)</f>
        <v>2</v>
      </c>
    </row>
    <row r="33" spans="1:25" x14ac:dyDescent="0.55000000000000004">
      <c r="A33" s="26">
        <v>383</v>
      </c>
      <c r="B33" s="26" t="s">
        <v>54</v>
      </c>
      <c r="C33" s="26">
        <f>VLOOKUP($A33,'SAS Data'!$1:$1048576,MATCH(C$1,'SAS Data'!$3:$3,0),FALSE)</f>
        <v>12</v>
      </c>
      <c r="D33" s="26">
        <f>VLOOKUP($A33,'SAS Data'!$1:$1048576,MATCH(D$1,'SAS Data'!$3:$3,0),FALSE)</f>
        <v>12</v>
      </c>
      <c r="E33" s="26">
        <f t="shared" si="0"/>
        <v>24</v>
      </c>
      <c r="F33" s="27">
        <f>VLOOKUP($A33,'SAS Data'!$1:$1048576,MATCH(F$1,'SAS Data'!$3:$3,0),FALSE)</f>
        <v>24.105599782268488</v>
      </c>
      <c r="G33" s="28">
        <f>VLOOKUP($A33,'SAS Data'!$1:$1048576,MATCH(G$1,'SAS Data'!$3:$3,0),FALSE)</f>
        <v>44091</v>
      </c>
      <c r="H33" s="28">
        <f>+CNA_Sample[[#This Row],[Cna Cph]]*CNA_Sample[[#This Row],[Cna Hrsn]]</f>
        <v>1062840</v>
      </c>
      <c r="I33" s="26">
        <v>30</v>
      </c>
      <c r="J33" s="29">
        <v>22.6</v>
      </c>
      <c r="K33" s="29">
        <v>26.81</v>
      </c>
      <c r="L33" s="29">
        <v>22.954999999999998</v>
      </c>
      <c r="M33" s="29">
        <v>24.132333333333342</v>
      </c>
      <c r="N33" s="26">
        <f>COUNTIFS('CNA Detail'!$A:$A,$A33,'CNA Detail'!$C:$C,"&lt;"&amp;L33)</f>
        <v>15</v>
      </c>
      <c r="O33" s="26">
        <f>COUNTIFS('CNA Detail'!$A:$A,$A33,'CNA Detail'!$C:$C,"&lt;"&amp;M33)</f>
        <v>16</v>
      </c>
      <c r="P33" s="26">
        <f>COUNTIFS('CNA Detail'!$A:$A,$A33,'CNA Detail'!$C:$C,"&lt;"&amp;$AD$1)</f>
        <v>17</v>
      </c>
      <c r="Q33" s="26">
        <f>COUNTIFS('CNA Detail'!$A:$A,$A33,'CNA Detail'!$C:$C,"&lt;"&amp;$AD$2)</f>
        <v>0</v>
      </c>
      <c r="R33" s="26">
        <f>COUNTIFS('CNA Detail'!$A:$A,$A33,'CNA Detail'!$C:$C,"&lt;"&amp;$AD$3)</f>
        <v>0</v>
      </c>
      <c r="S33" s="28">
        <f>+CNA_Sample[[#This Row],[CNA median]]*CNA_Sample[[#This Row],[Cna Hrsn]]</f>
        <v>1012108.9049999999</v>
      </c>
      <c r="T33" s="28">
        <f>+CNA_Sample[[#This Row],[CNA average]]*CNA_Sample[[#This Row],[Cna Hrsn]]</f>
        <v>1064018.7090000005</v>
      </c>
      <c r="U33" s="30">
        <f>CNA_Sample[[#This Row],[Est median wage cost ]]/CNA_Sample[[#This Row],[Cost]]</f>
        <v>0.95226836118324476</v>
      </c>
      <c r="V33" s="30">
        <f>CNA_Sample[[#This Row],[Est average wage cost]]/CNA_Sample[[#This Row],[Cost]]</f>
        <v>1.0011090182906182</v>
      </c>
      <c r="W33" s="30">
        <f>+CNA_Sample[[#This Row],[CNA min.]]/CNA_Sample[[#This Row],[CNA median]]</f>
        <v>0.98453495970376836</v>
      </c>
      <c r="X33" s="30">
        <f>+CNA_Sample[[#This Row],[CNA max]]/CNA_Sample[[#This Row],[CNA median]]</f>
        <v>1.1679372685689393</v>
      </c>
      <c r="Y33" s="26">
        <f>VLOOKUP(A33,Summary!$1:$1048576,2,FALSE)</f>
        <v>3</v>
      </c>
    </row>
    <row r="34" spans="1:25" x14ac:dyDescent="0.55000000000000004">
      <c r="A34" s="26">
        <v>385</v>
      </c>
      <c r="B34" s="26" t="s">
        <v>54</v>
      </c>
      <c r="C34" s="26">
        <f>VLOOKUP($A34,'SAS Data'!$1:$1048576,MATCH(C$1,'SAS Data'!$3:$3,0),FALSE)</f>
        <v>13</v>
      </c>
      <c r="D34" s="26">
        <f>VLOOKUP($A34,'SAS Data'!$1:$1048576,MATCH(D$1,'SAS Data'!$3:$3,0),FALSE)</f>
        <v>1</v>
      </c>
      <c r="E34" s="26">
        <f t="shared" ref="E34:E65" si="1">SUM(C34:D34)</f>
        <v>14</v>
      </c>
      <c r="F34" s="27">
        <f>VLOOKUP($A34,'SAS Data'!$1:$1048576,MATCH(F$1,'SAS Data'!$3:$3,0),FALSE)</f>
        <v>31.551617268322492</v>
      </c>
      <c r="G34" s="28">
        <f>VLOOKUP($A34,'SAS Data'!$1:$1048576,MATCH(G$1,'SAS Data'!$3:$3,0),FALSE)</f>
        <v>22909</v>
      </c>
      <c r="H34" s="28">
        <f>+CNA_Sample[[#This Row],[Cna Cph]]*CNA_Sample[[#This Row],[Cna Hrsn]]</f>
        <v>722816</v>
      </c>
      <c r="I34" s="26">
        <v>21</v>
      </c>
      <c r="J34" s="29">
        <v>18</v>
      </c>
      <c r="K34" s="29">
        <v>25.58</v>
      </c>
      <c r="L34" s="29">
        <v>21.5</v>
      </c>
      <c r="M34" s="29">
        <v>21.892857142857142</v>
      </c>
      <c r="N34" s="26">
        <f>COUNTIFS('CNA Detail'!$A:$A,$A34,'CNA Detail'!$C:$C,"&lt;"&amp;L34)</f>
        <v>6</v>
      </c>
      <c r="O34" s="26">
        <f>COUNTIFS('CNA Detail'!$A:$A,$A34,'CNA Detail'!$C:$C,"&lt;"&amp;M34)</f>
        <v>11</v>
      </c>
      <c r="P34" s="26">
        <f>COUNTIFS('CNA Detail'!$A:$A,$A34,'CNA Detail'!$C:$C,"&lt;"&amp;$AD$1)</f>
        <v>19</v>
      </c>
      <c r="Q34" s="26">
        <f>COUNTIFS('CNA Detail'!$A:$A,$A34,'CNA Detail'!$C:$C,"&lt;"&amp;$AD$2)</f>
        <v>5</v>
      </c>
      <c r="R34" s="26">
        <f>COUNTIFS('CNA Detail'!$A:$A,$A34,'CNA Detail'!$C:$C,"&lt;"&amp;$AD$3)</f>
        <v>5</v>
      </c>
      <c r="S34" s="28">
        <f>+CNA_Sample[[#This Row],[CNA median]]*CNA_Sample[[#This Row],[Cna Hrsn]]</f>
        <v>492543.5</v>
      </c>
      <c r="T34" s="28">
        <f>+CNA_Sample[[#This Row],[CNA average]]*CNA_Sample[[#This Row],[Cna Hrsn]]</f>
        <v>501543.46428571426</v>
      </c>
      <c r="U34" s="30">
        <f>CNA_Sample[[#This Row],[Est median wage cost ]]/CNA_Sample[[#This Row],[Cost]]</f>
        <v>0.68142307309190719</v>
      </c>
      <c r="V34" s="30">
        <f>CNA_Sample[[#This Row],[Est average wage cost]]/CNA_Sample[[#This Row],[Cost]]</f>
        <v>0.69387432525803838</v>
      </c>
      <c r="W34" s="30">
        <f>+CNA_Sample[[#This Row],[CNA min.]]/CNA_Sample[[#This Row],[CNA median]]</f>
        <v>0.83720930232558144</v>
      </c>
      <c r="X34" s="30">
        <f>+CNA_Sample[[#This Row],[CNA max]]/CNA_Sample[[#This Row],[CNA median]]</f>
        <v>1.1897674418604651</v>
      </c>
      <c r="Y34" s="26">
        <f>VLOOKUP(A34,Summary!$1:$1048576,2,FALSE)</f>
        <v>2</v>
      </c>
    </row>
    <row r="35" spans="1:25" x14ac:dyDescent="0.55000000000000004">
      <c r="A35" s="26">
        <v>420</v>
      </c>
      <c r="B35" s="26" t="s">
        <v>54</v>
      </c>
      <c r="C35" s="26">
        <f>VLOOKUP($A35,'SAS Data'!$1:$1048576,MATCH(C$1,'SAS Data'!$3:$3,0),FALSE)</f>
        <v>8</v>
      </c>
      <c r="D35" s="26">
        <f>VLOOKUP($A35,'SAS Data'!$1:$1048576,MATCH(D$1,'SAS Data'!$3:$3,0),FALSE)</f>
        <v>6</v>
      </c>
      <c r="E35" s="26">
        <f t="shared" si="1"/>
        <v>14</v>
      </c>
      <c r="F35" s="27">
        <f>VLOOKUP($A35,'SAS Data'!$1:$1048576,MATCH(F$1,'SAS Data'!$3:$3,0),FALSE)</f>
        <v>18.245344686707092</v>
      </c>
      <c r="G35" s="28">
        <f>VLOOKUP($A35,'SAS Data'!$1:$1048576,MATCH(G$1,'SAS Data'!$3:$3,0),FALSE)</f>
        <v>23253</v>
      </c>
      <c r="H35" s="28">
        <f>+CNA_Sample[[#This Row],[Cna Cph]]*CNA_Sample[[#This Row],[Cna Hrsn]]</f>
        <v>424259</v>
      </c>
      <c r="I35" s="26">
        <v>18</v>
      </c>
      <c r="J35" s="29">
        <v>15</v>
      </c>
      <c r="K35" s="29">
        <v>30</v>
      </c>
      <c r="L35" s="29">
        <v>17</v>
      </c>
      <c r="M35" s="29">
        <v>17.562777777777779</v>
      </c>
      <c r="N35" s="26">
        <f>COUNTIFS('CNA Detail'!$A:$A,$A35,'CNA Detail'!$C:$C,"&lt;"&amp;L35)</f>
        <v>8</v>
      </c>
      <c r="O35" s="26">
        <f>COUNTIFS('CNA Detail'!$A:$A,$A35,'CNA Detail'!$C:$C,"&lt;"&amp;M35)</f>
        <v>12</v>
      </c>
      <c r="P35" s="26">
        <f>COUNTIFS('CNA Detail'!$A:$A,$A35,'CNA Detail'!$C:$C,"&lt;"&amp;$AD$1)</f>
        <v>17</v>
      </c>
      <c r="Q35" s="26">
        <f>COUNTIFS('CNA Detail'!$A:$A,$A35,'CNA Detail'!$C:$C,"&lt;"&amp;$AD$2)</f>
        <v>17</v>
      </c>
      <c r="R35" s="26">
        <f>COUNTIFS('CNA Detail'!$A:$A,$A35,'CNA Detail'!$C:$C,"&lt;"&amp;$AD$3)</f>
        <v>17</v>
      </c>
      <c r="S35" s="28">
        <f>+CNA_Sample[[#This Row],[CNA median]]*CNA_Sample[[#This Row],[Cna Hrsn]]</f>
        <v>395301</v>
      </c>
      <c r="T35" s="28">
        <f>+CNA_Sample[[#This Row],[CNA average]]*CNA_Sample[[#This Row],[Cna Hrsn]]</f>
        <v>408387.27166666667</v>
      </c>
      <c r="U35" s="30">
        <f>CNA_Sample[[#This Row],[Est median wage cost ]]/CNA_Sample[[#This Row],[Cost]]</f>
        <v>0.93174452398181296</v>
      </c>
      <c r="V35" s="30">
        <f>CNA_Sample[[#This Row],[Est average wage cost]]/CNA_Sample[[#This Row],[Cost]]</f>
        <v>0.96258953060905406</v>
      </c>
      <c r="W35" s="30">
        <f>+CNA_Sample[[#This Row],[CNA min.]]/CNA_Sample[[#This Row],[CNA median]]</f>
        <v>0.88235294117647056</v>
      </c>
      <c r="X35" s="30">
        <f>+CNA_Sample[[#This Row],[CNA max]]/CNA_Sample[[#This Row],[CNA median]]</f>
        <v>1.7647058823529411</v>
      </c>
      <c r="Y35" s="26">
        <f>VLOOKUP(A35,Summary!$1:$1048576,2,FALSE)</f>
        <v>1</v>
      </c>
    </row>
    <row r="36" spans="1:25" x14ac:dyDescent="0.55000000000000004">
      <c r="A36" s="26">
        <v>421</v>
      </c>
      <c r="B36" s="26" t="s">
        <v>54</v>
      </c>
      <c r="C36" s="26">
        <f>VLOOKUP($A36,'SAS Data'!$1:$1048576,MATCH(C$1,'SAS Data'!$3:$3,0),FALSE)</f>
        <v>3</v>
      </c>
      <c r="D36" s="26">
        <f>VLOOKUP($A36,'SAS Data'!$1:$1048576,MATCH(D$1,'SAS Data'!$3:$3,0),FALSE)</f>
        <v>6</v>
      </c>
      <c r="E36" s="26">
        <f t="shared" si="1"/>
        <v>9</v>
      </c>
      <c r="F36" s="27">
        <f>VLOOKUP($A36,'SAS Data'!$1:$1048576,MATCH(F$1,'SAS Data'!$3:$3,0),FALSE)</f>
        <v>19.227469515827938</v>
      </c>
      <c r="G36" s="28">
        <f>VLOOKUP($A36,'SAS Data'!$1:$1048576,MATCH(G$1,'SAS Data'!$3:$3,0),FALSE)</f>
        <v>25177</v>
      </c>
      <c r="H36" s="28">
        <f>+CNA_Sample[[#This Row],[Cna Cph]]*CNA_Sample[[#This Row],[Cna Hrsn]]</f>
        <v>484090</v>
      </c>
      <c r="I36" s="26">
        <v>14</v>
      </c>
      <c r="J36" s="29">
        <v>16.809999999999999</v>
      </c>
      <c r="K36" s="29">
        <v>21.47</v>
      </c>
      <c r="L36" s="29">
        <v>18.59</v>
      </c>
      <c r="M36" s="29">
        <v>18.662857142857142</v>
      </c>
      <c r="N36" s="26">
        <f>COUNTIFS('CNA Detail'!$A:$A,$A36,'CNA Detail'!$C:$C,"&lt;"&amp;L36)</f>
        <v>7</v>
      </c>
      <c r="O36" s="26">
        <f>COUNTIFS('CNA Detail'!$A:$A,$A36,'CNA Detail'!$C:$C,"&lt;"&amp;M36)</f>
        <v>8</v>
      </c>
      <c r="P36" s="26">
        <f>COUNTIFS('CNA Detail'!$A:$A,$A36,'CNA Detail'!$C:$C,"&lt;"&amp;$AD$1)</f>
        <v>14</v>
      </c>
      <c r="Q36" s="26">
        <f>COUNTIFS('CNA Detail'!$A:$A,$A36,'CNA Detail'!$C:$C,"&lt;"&amp;$AD$2)</f>
        <v>13</v>
      </c>
      <c r="R36" s="26">
        <f>COUNTIFS('CNA Detail'!$A:$A,$A36,'CNA Detail'!$C:$C,"&lt;"&amp;$AD$3)</f>
        <v>13</v>
      </c>
      <c r="S36" s="28">
        <f>+CNA_Sample[[#This Row],[CNA median]]*CNA_Sample[[#This Row],[Cna Hrsn]]</f>
        <v>468040.43</v>
      </c>
      <c r="T36" s="28">
        <f>+CNA_Sample[[#This Row],[CNA average]]*CNA_Sample[[#This Row],[Cna Hrsn]]</f>
        <v>469874.75428571424</v>
      </c>
      <c r="U36" s="30">
        <f>CNA_Sample[[#This Row],[Est median wage cost ]]/CNA_Sample[[#This Row],[Cost]]</f>
        <v>0.96684589642421859</v>
      </c>
      <c r="V36" s="30">
        <f>CNA_Sample[[#This Row],[Est average wage cost]]/CNA_Sample[[#This Row],[Cost]]</f>
        <v>0.97063511802704916</v>
      </c>
      <c r="W36" s="30">
        <f>+CNA_Sample[[#This Row],[CNA min.]]/CNA_Sample[[#This Row],[CNA median]]</f>
        <v>0.90424959655728876</v>
      </c>
      <c r="X36" s="30">
        <f>+CNA_Sample[[#This Row],[CNA max]]/CNA_Sample[[#This Row],[CNA median]]</f>
        <v>1.1549220010758472</v>
      </c>
      <c r="Y36" s="26">
        <f>VLOOKUP(A36,Summary!$1:$1048576,2,FALSE)</f>
        <v>1</v>
      </c>
    </row>
    <row r="37" spans="1:25" x14ac:dyDescent="0.55000000000000004">
      <c r="A37" s="26">
        <v>423</v>
      </c>
      <c r="B37" s="26" t="s">
        <v>54</v>
      </c>
      <c r="C37" s="26">
        <f>VLOOKUP($A37,'SAS Data'!$1:$1048576,MATCH(C$1,'SAS Data'!$3:$3,0),FALSE)</f>
        <v>13</v>
      </c>
      <c r="D37" s="26">
        <f>VLOOKUP($A37,'SAS Data'!$1:$1048576,MATCH(D$1,'SAS Data'!$3:$3,0),FALSE)</f>
        <v>19</v>
      </c>
      <c r="E37" s="26">
        <f t="shared" si="1"/>
        <v>32</v>
      </c>
      <c r="F37" s="27">
        <f>VLOOKUP($A37,'SAS Data'!$1:$1048576,MATCH(F$1,'SAS Data'!$3:$3,0),FALSE)</f>
        <v>23.131307575965902</v>
      </c>
      <c r="G37" s="28">
        <f>VLOOKUP($A37,'SAS Data'!$1:$1048576,MATCH(G$1,'SAS Data'!$3:$3,0),FALSE)</f>
        <v>36365</v>
      </c>
      <c r="H37" s="28">
        <f>+CNA_Sample[[#This Row],[Cna Cph]]*CNA_Sample[[#This Row],[Cna Hrsn]]</f>
        <v>841170</v>
      </c>
      <c r="I37" s="26">
        <v>34</v>
      </c>
      <c r="J37" s="29">
        <v>18</v>
      </c>
      <c r="K37" s="29">
        <v>23</v>
      </c>
      <c r="L37" s="29">
        <v>21.625</v>
      </c>
      <c r="M37" s="29">
        <v>20.875</v>
      </c>
      <c r="N37" s="26">
        <f>COUNTIFS('CNA Detail'!$A:$A,$A37,'CNA Detail'!$C:$C,"&lt;"&amp;L37)</f>
        <v>17</v>
      </c>
      <c r="O37" s="26">
        <f>COUNTIFS('CNA Detail'!$A:$A,$A37,'CNA Detail'!$C:$C,"&lt;"&amp;M37)</f>
        <v>14</v>
      </c>
      <c r="P37" s="26">
        <f>COUNTIFS('CNA Detail'!$A:$A,$A37,'CNA Detail'!$C:$C,"&lt;"&amp;$AD$1)</f>
        <v>34</v>
      </c>
      <c r="Q37" s="26">
        <f>COUNTIFS('CNA Detail'!$A:$A,$A37,'CNA Detail'!$C:$C,"&lt;"&amp;$AD$2)</f>
        <v>13</v>
      </c>
      <c r="R37" s="26">
        <f>COUNTIFS('CNA Detail'!$A:$A,$A37,'CNA Detail'!$C:$C,"&lt;"&amp;$AD$3)</f>
        <v>14</v>
      </c>
      <c r="S37" s="28">
        <f>+CNA_Sample[[#This Row],[CNA median]]*CNA_Sample[[#This Row],[Cna Hrsn]]</f>
        <v>786393.125</v>
      </c>
      <c r="T37" s="28">
        <f>+CNA_Sample[[#This Row],[CNA average]]*CNA_Sample[[#This Row],[Cna Hrsn]]</f>
        <v>759119.375</v>
      </c>
      <c r="U37" s="30">
        <f>CNA_Sample[[#This Row],[Est median wage cost ]]/CNA_Sample[[#This Row],[Cost]]</f>
        <v>0.93488013718986651</v>
      </c>
      <c r="V37" s="30">
        <f>CNA_Sample[[#This Row],[Est average wage cost]]/CNA_Sample[[#This Row],[Cost]]</f>
        <v>0.90245654861680757</v>
      </c>
      <c r="W37" s="30">
        <f>+CNA_Sample[[#This Row],[CNA min.]]/CNA_Sample[[#This Row],[CNA median]]</f>
        <v>0.83236994219653182</v>
      </c>
      <c r="X37" s="30">
        <f>+CNA_Sample[[#This Row],[CNA max]]/CNA_Sample[[#This Row],[CNA median]]</f>
        <v>1.0635838150289016</v>
      </c>
      <c r="Y37" s="26">
        <f>VLOOKUP(A37,Summary!$1:$1048576,2,FALSE)</f>
        <v>2</v>
      </c>
    </row>
    <row r="38" spans="1:25" x14ac:dyDescent="0.55000000000000004">
      <c r="A38" s="26">
        <v>433</v>
      </c>
      <c r="B38" s="26" t="s">
        <v>54</v>
      </c>
      <c r="C38" s="26">
        <f>VLOOKUP($A38,'SAS Data'!$1:$1048576,MATCH(C$1,'SAS Data'!$3:$3,0),FALSE)</f>
        <v>6</v>
      </c>
      <c r="D38" s="26">
        <f>VLOOKUP($A38,'SAS Data'!$1:$1048576,MATCH(D$1,'SAS Data'!$3:$3,0),FALSE)</f>
        <v>30</v>
      </c>
      <c r="E38" s="26">
        <f t="shared" si="1"/>
        <v>36</v>
      </c>
      <c r="F38" s="27">
        <f>VLOOKUP($A38,'SAS Data'!$1:$1048576,MATCH(F$1,'SAS Data'!$3:$3,0),FALSE)</f>
        <v>22.173296543266652</v>
      </c>
      <c r="G38" s="28">
        <f>VLOOKUP($A38,'SAS Data'!$1:$1048576,MATCH(G$1,'SAS Data'!$3:$3,0),FALSE)</f>
        <v>26094</v>
      </c>
      <c r="H38" s="28">
        <f>+CNA_Sample[[#This Row],[Cna Cph]]*CNA_Sample[[#This Row],[Cna Hrsn]]</f>
        <v>578590</v>
      </c>
      <c r="I38" s="26">
        <v>39</v>
      </c>
      <c r="J38" s="29">
        <v>19</v>
      </c>
      <c r="K38" s="29">
        <v>19.5</v>
      </c>
      <c r="L38" s="29">
        <v>19.190000000000001</v>
      </c>
      <c r="M38" s="29">
        <v>19.191538461538475</v>
      </c>
      <c r="N38" s="26">
        <f>COUNTIFS('CNA Detail'!$A:$A,$A38,'CNA Detail'!$C:$C,"&lt;"&amp;L38)</f>
        <v>6</v>
      </c>
      <c r="O38" s="26">
        <f>COUNTIFS('CNA Detail'!$A:$A,$A38,'CNA Detail'!$C:$C,"&lt;"&amp;M38)</f>
        <v>33</v>
      </c>
      <c r="P38" s="26">
        <f>COUNTIFS('CNA Detail'!$A:$A,$A38,'CNA Detail'!$C:$C,"&lt;"&amp;$AD$1)</f>
        <v>39</v>
      </c>
      <c r="Q38" s="26">
        <f>COUNTIFS('CNA Detail'!$A:$A,$A38,'CNA Detail'!$C:$C,"&lt;"&amp;$AD$2)</f>
        <v>39</v>
      </c>
      <c r="R38" s="26">
        <f>COUNTIFS('CNA Detail'!$A:$A,$A38,'CNA Detail'!$C:$C,"&lt;"&amp;$AD$3)</f>
        <v>39</v>
      </c>
      <c r="S38" s="28">
        <f>+CNA_Sample[[#This Row],[CNA median]]*CNA_Sample[[#This Row],[Cna Hrsn]]</f>
        <v>500743.86000000004</v>
      </c>
      <c r="T38" s="28">
        <f>+CNA_Sample[[#This Row],[CNA average]]*CNA_Sample[[#This Row],[Cna Hrsn]]</f>
        <v>500784.00461538497</v>
      </c>
      <c r="U38" s="30">
        <f>CNA_Sample[[#This Row],[Est median wage cost ]]/CNA_Sample[[#This Row],[Cost]]</f>
        <v>0.86545543476382247</v>
      </c>
      <c r="V38" s="30">
        <f>CNA_Sample[[#This Row],[Est average wage cost]]/CNA_Sample[[#This Row],[Cost]]</f>
        <v>0.86552481829168315</v>
      </c>
      <c r="W38" s="30">
        <f>+CNA_Sample[[#This Row],[CNA min.]]/CNA_Sample[[#This Row],[CNA median]]</f>
        <v>0.99009900990098998</v>
      </c>
      <c r="X38" s="30">
        <f>+CNA_Sample[[#This Row],[CNA max]]/CNA_Sample[[#This Row],[CNA median]]</f>
        <v>1.0161542470036478</v>
      </c>
      <c r="Y38" s="26">
        <f>VLOOKUP(A38,Summary!$1:$1048576,2,FALSE)</f>
        <v>1</v>
      </c>
    </row>
    <row r="39" spans="1:25" x14ac:dyDescent="0.55000000000000004">
      <c r="A39" s="26">
        <v>452</v>
      </c>
      <c r="B39" s="26" t="s">
        <v>54</v>
      </c>
      <c r="C39" s="26">
        <f>VLOOKUP($A39,'SAS Data'!$1:$1048576,MATCH(C$1,'SAS Data'!$3:$3,0),FALSE)</f>
        <v>6</v>
      </c>
      <c r="D39" s="26">
        <f>VLOOKUP($A39,'SAS Data'!$1:$1048576,MATCH(D$1,'SAS Data'!$3:$3,0),FALSE)</f>
        <v>2</v>
      </c>
      <c r="E39" s="26">
        <f t="shared" si="1"/>
        <v>8</v>
      </c>
      <c r="F39" s="27">
        <f>VLOOKUP($A39,'SAS Data'!$1:$1048576,MATCH(F$1,'SAS Data'!$3:$3,0),FALSE)</f>
        <v>22.703449390096129</v>
      </c>
      <c r="G39" s="28">
        <f>VLOOKUP($A39,'SAS Data'!$1:$1048576,MATCH(G$1,'SAS Data'!$3:$3,0),FALSE)</f>
        <v>12379</v>
      </c>
      <c r="H39" s="28">
        <f>+CNA_Sample[[#This Row],[Cna Cph]]*CNA_Sample[[#This Row],[Cna Hrsn]]</f>
        <v>281046</v>
      </c>
      <c r="I39" s="26">
        <v>12</v>
      </c>
      <c r="J39" s="29">
        <v>17.22</v>
      </c>
      <c r="K39" s="29">
        <v>26.13</v>
      </c>
      <c r="L39" s="29">
        <v>18.64</v>
      </c>
      <c r="M39" s="29">
        <v>19.035</v>
      </c>
      <c r="N39" s="26">
        <f>COUNTIFS('CNA Detail'!$A:$A,$A39,'CNA Detail'!$C:$C,"&lt;"&amp;L39)</f>
        <v>5</v>
      </c>
      <c r="O39" s="26">
        <f>COUNTIFS('CNA Detail'!$A:$A,$A39,'CNA Detail'!$C:$C,"&lt;"&amp;M39)</f>
        <v>8</v>
      </c>
      <c r="P39" s="26">
        <f>COUNTIFS('CNA Detail'!$A:$A,$A39,'CNA Detail'!$C:$C,"&lt;"&amp;$AD$1)</f>
        <v>11</v>
      </c>
      <c r="Q39" s="26">
        <f>COUNTIFS('CNA Detail'!$A:$A,$A39,'CNA Detail'!$C:$C,"&lt;"&amp;$AD$2)</f>
        <v>11</v>
      </c>
      <c r="R39" s="26">
        <f>COUNTIFS('CNA Detail'!$A:$A,$A39,'CNA Detail'!$C:$C,"&lt;"&amp;$AD$3)</f>
        <v>11</v>
      </c>
      <c r="S39" s="28">
        <f>+CNA_Sample[[#This Row],[CNA median]]*CNA_Sample[[#This Row],[Cna Hrsn]]</f>
        <v>230744.56</v>
      </c>
      <c r="T39" s="28">
        <f>+CNA_Sample[[#This Row],[CNA average]]*CNA_Sample[[#This Row],[Cna Hrsn]]</f>
        <v>235634.26500000001</v>
      </c>
      <c r="U39" s="30">
        <f>CNA_Sample[[#This Row],[Est median wage cost ]]/CNA_Sample[[#This Row],[Cost]]</f>
        <v>0.8210206158422465</v>
      </c>
      <c r="V39" s="30">
        <f>CNA_Sample[[#This Row],[Est average wage cost]]/CNA_Sample[[#This Row],[Cost]]</f>
        <v>0.83841885314147868</v>
      </c>
      <c r="W39" s="30">
        <f>+CNA_Sample[[#This Row],[CNA min.]]/CNA_Sample[[#This Row],[CNA median]]</f>
        <v>0.92381974248927035</v>
      </c>
      <c r="X39" s="30">
        <f>+CNA_Sample[[#This Row],[CNA max]]/CNA_Sample[[#This Row],[CNA median]]</f>
        <v>1.4018240343347639</v>
      </c>
      <c r="Y39" s="26">
        <f>VLOOKUP(A39,Summary!$1:$1048576,2,FALSE)</f>
        <v>1</v>
      </c>
    </row>
    <row r="40" spans="1:25" x14ac:dyDescent="0.55000000000000004">
      <c r="A40" s="26">
        <v>479</v>
      </c>
      <c r="B40" s="26" t="s">
        <v>54</v>
      </c>
      <c r="C40" s="26">
        <f>VLOOKUP($A40,'SAS Data'!$1:$1048576,MATCH(C$1,'SAS Data'!$3:$3,0),FALSE)</f>
        <v>13</v>
      </c>
      <c r="D40" s="26">
        <f>VLOOKUP($A40,'SAS Data'!$1:$1048576,MATCH(D$1,'SAS Data'!$3:$3,0),FALSE)</f>
        <v>3</v>
      </c>
      <c r="E40" s="26">
        <f t="shared" si="1"/>
        <v>16</v>
      </c>
      <c r="F40" s="27">
        <f>VLOOKUP($A40,'SAS Data'!$1:$1048576,MATCH(F$1,'SAS Data'!$3:$3,0),FALSE)</f>
        <v>17.796613550784269</v>
      </c>
      <c r="G40" s="28">
        <f>VLOOKUP($A40,'SAS Data'!$1:$1048576,MATCH(G$1,'SAS Data'!$3:$3,0),FALSE)</f>
        <v>40101</v>
      </c>
      <c r="H40" s="28">
        <f>+CNA_Sample[[#This Row],[Cna Cph]]*CNA_Sample[[#This Row],[Cna Hrsn]]</f>
        <v>713662</v>
      </c>
      <c r="I40" s="26">
        <v>21</v>
      </c>
      <c r="J40" s="29">
        <v>19</v>
      </c>
      <c r="K40" s="29">
        <v>20</v>
      </c>
      <c r="L40" s="29">
        <v>20</v>
      </c>
      <c r="M40" s="29">
        <v>19.952380952380953</v>
      </c>
      <c r="N40" s="26">
        <f>COUNTIFS('CNA Detail'!$A:$A,$A40,'CNA Detail'!$C:$C,"&lt;"&amp;L40)</f>
        <v>1</v>
      </c>
      <c r="O40" s="26">
        <f>COUNTIFS('CNA Detail'!$A:$A,$A40,'CNA Detail'!$C:$C,"&lt;"&amp;M40)</f>
        <v>1</v>
      </c>
      <c r="P40" s="26">
        <f>COUNTIFS('CNA Detail'!$A:$A,$A40,'CNA Detail'!$C:$C,"&lt;"&amp;$AD$1)</f>
        <v>21</v>
      </c>
      <c r="Q40" s="26">
        <f>COUNTIFS('CNA Detail'!$A:$A,$A40,'CNA Detail'!$C:$C,"&lt;"&amp;$AD$2)</f>
        <v>21</v>
      </c>
      <c r="R40" s="26">
        <f>COUNTIFS('CNA Detail'!$A:$A,$A40,'CNA Detail'!$C:$C,"&lt;"&amp;$AD$3)</f>
        <v>21</v>
      </c>
      <c r="S40" s="28">
        <f>+CNA_Sample[[#This Row],[CNA median]]*CNA_Sample[[#This Row],[Cna Hrsn]]</f>
        <v>802020</v>
      </c>
      <c r="T40" s="28">
        <f>+CNA_Sample[[#This Row],[CNA average]]*CNA_Sample[[#This Row],[Cna Hrsn]]</f>
        <v>800110.42857142852</v>
      </c>
      <c r="U40" s="30">
        <f>CNA_Sample[[#This Row],[Est median wage cost ]]/CNA_Sample[[#This Row],[Cost]]</f>
        <v>1.1238093102897451</v>
      </c>
      <c r="V40" s="30">
        <f>CNA_Sample[[#This Row],[Est average wage cost]]/CNA_Sample[[#This Row],[Cost]]</f>
        <v>1.1211335738366741</v>
      </c>
      <c r="W40" s="30">
        <f>+CNA_Sample[[#This Row],[CNA min.]]/CNA_Sample[[#This Row],[CNA median]]</f>
        <v>0.95</v>
      </c>
      <c r="X40" s="30">
        <f>+CNA_Sample[[#This Row],[CNA max]]/CNA_Sample[[#This Row],[CNA median]]</f>
        <v>1</v>
      </c>
      <c r="Y40" s="26">
        <f>VLOOKUP(A40,Summary!$1:$1048576,2,FALSE)</f>
        <v>3</v>
      </c>
    </row>
    <row r="41" spans="1:25" x14ac:dyDescent="0.55000000000000004">
      <c r="A41" s="26">
        <v>486</v>
      </c>
      <c r="B41" s="26" t="s">
        <v>54</v>
      </c>
      <c r="C41" s="26">
        <f>VLOOKUP($A41,'SAS Data'!$1:$1048576,MATCH(C$1,'SAS Data'!$3:$3,0),FALSE)</f>
        <v>15</v>
      </c>
      <c r="D41" s="26">
        <f>VLOOKUP($A41,'SAS Data'!$1:$1048576,MATCH(D$1,'SAS Data'!$3:$3,0),FALSE)</f>
        <v>5</v>
      </c>
      <c r="E41" s="26">
        <f t="shared" si="1"/>
        <v>20</v>
      </c>
      <c r="F41" s="27">
        <f>VLOOKUP($A41,'SAS Data'!$1:$1048576,MATCH(F$1,'SAS Data'!$3:$3,0),FALSE)</f>
        <v>19.692873331654496</v>
      </c>
      <c r="G41" s="28">
        <f>VLOOKUP($A41,'SAS Data'!$1:$1048576,MATCH(G$1,'SAS Data'!$3:$3,0),FALSE)</f>
        <v>39710</v>
      </c>
      <c r="H41" s="28">
        <f>+CNA_Sample[[#This Row],[Cna Cph]]*CNA_Sample[[#This Row],[Cna Hrsn]]</f>
        <v>782004</v>
      </c>
      <c r="I41" s="26">
        <v>56</v>
      </c>
      <c r="J41" s="29">
        <v>18.25</v>
      </c>
      <c r="K41" s="29">
        <v>23.74</v>
      </c>
      <c r="L41" s="29">
        <v>20.5</v>
      </c>
      <c r="M41" s="29">
        <v>20.705178571428579</v>
      </c>
      <c r="N41" s="26">
        <f>COUNTIFS('CNA Detail'!$A:$A,$A41,'CNA Detail'!$C:$C,"&lt;"&amp;L41)</f>
        <v>24</v>
      </c>
      <c r="O41" s="26">
        <f>COUNTIFS('CNA Detail'!$A:$A,$A41,'CNA Detail'!$C:$C,"&lt;"&amp;M41)</f>
        <v>33</v>
      </c>
      <c r="P41" s="26">
        <f>COUNTIFS('CNA Detail'!$A:$A,$A41,'CNA Detail'!$C:$C,"&lt;"&amp;$AD$1)</f>
        <v>56</v>
      </c>
      <c r="Q41" s="26">
        <f>COUNTIFS('CNA Detail'!$A:$A,$A41,'CNA Detail'!$C:$C,"&lt;"&amp;$AD$2)</f>
        <v>29</v>
      </c>
      <c r="R41" s="26">
        <f>COUNTIFS('CNA Detail'!$A:$A,$A41,'CNA Detail'!$C:$C,"&lt;"&amp;$AD$3)</f>
        <v>33</v>
      </c>
      <c r="S41" s="28">
        <f>+CNA_Sample[[#This Row],[CNA median]]*CNA_Sample[[#This Row],[Cna Hrsn]]</f>
        <v>814055</v>
      </c>
      <c r="T41" s="28">
        <f>+CNA_Sample[[#This Row],[CNA average]]*CNA_Sample[[#This Row],[Cna Hrsn]]</f>
        <v>822202.64107142889</v>
      </c>
      <c r="U41" s="30">
        <f>CNA_Sample[[#This Row],[Est median wage cost ]]/CNA_Sample[[#This Row],[Cost]]</f>
        <v>1.0409857238581899</v>
      </c>
      <c r="V41" s="30">
        <f>CNA_Sample[[#This Row],[Est average wage cost]]/CNA_Sample[[#This Row],[Cost]]</f>
        <v>1.0514046489166666</v>
      </c>
      <c r="W41" s="30">
        <f>+CNA_Sample[[#This Row],[CNA min.]]/CNA_Sample[[#This Row],[CNA median]]</f>
        <v>0.8902439024390244</v>
      </c>
      <c r="X41" s="30">
        <f>+CNA_Sample[[#This Row],[CNA max]]/CNA_Sample[[#This Row],[CNA median]]</f>
        <v>1.1580487804878048</v>
      </c>
      <c r="Y41" s="26">
        <f>VLOOKUP(A41,Summary!$1:$1048576,2,FALSE)</f>
        <v>3</v>
      </c>
    </row>
    <row r="42" spans="1:25" x14ac:dyDescent="0.55000000000000004">
      <c r="A42" s="26">
        <v>500</v>
      </c>
      <c r="B42" s="26" t="s">
        <v>54</v>
      </c>
      <c r="C42" s="26">
        <f>VLOOKUP($A42,'SAS Data'!$1:$1048576,MATCH(C$1,'SAS Data'!$3:$3,0),FALSE)</f>
        <v>18</v>
      </c>
      <c r="D42" s="26">
        <f>VLOOKUP($A42,'SAS Data'!$1:$1048576,MATCH(D$1,'SAS Data'!$3:$3,0),FALSE)</f>
        <v>8</v>
      </c>
      <c r="E42" s="26">
        <f t="shared" si="1"/>
        <v>26</v>
      </c>
      <c r="F42" s="27">
        <f>VLOOKUP($A42,'SAS Data'!$1:$1048576,MATCH(F$1,'SAS Data'!$3:$3,0),FALSE)</f>
        <v>20.874048070136336</v>
      </c>
      <c r="G42" s="28">
        <f>VLOOKUP($A42,'SAS Data'!$1:$1048576,MATCH(G$1,'SAS Data'!$3:$3,0),FALSE)</f>
        <v>53838</v>
      </c>
      <c r="H42" s="28">
        <f>+CNA_Sample[[#This Row],[Cna Cph]]*CNA_Sample[[#This Row],[Cna Hrsn]]</f>
        <v>1123817</v>
      </c>
      <c r="I42" s="26">
        <v>46</v>
      </c>
      <c r="J42" s="29">
        <v>19.5</v>
      </c>
      <c r="K42" s="29">
        <v>25.58</v>
      </c>
      <c r="L42" s="29">
        <v>21.33</v>
      </c>
      <c r="M42" s="29">
        <v>21.704347826086952</v>
      </c>
      <c r="N42" s="26">
        <f>COUNTIFS('CNA Detail'!$A:$A,$A42,'CNA Detail'!$C:$C,"&lt;"&amp;L42)</f>
        <v>23</v>
      </c>
      <c r="O42" s="26">
        <f>COUNTIFS('CNA Detail'!$A:$A,$A42,'CNA Detail'!$C:$C,"&lt;"&amp;M42)</f>
        <v>25</v>
      </c>
      <c r="P42" s="26">
        <f>COUNTIFS('CNA Detail'!$A:$A,$A42,'CNA Detail'!$C:$C,"&lt;"&amp;$AD$1)</f>
        <v>43</v>
      </c>
      <c r="Q42" s="26">
        <f>COUNTIFS('CNA Detail'!$A:$A,$A42,'CNA Detail'!$C:$C,"&lt;"&amp;$AD$2)</f>
        <v>18</v>
      </c>
      <c r="R42" s="26">
        <f>COUNTIFS('CNA Detail'!$A:$A,$A42,'CNA Detail'!$C:$C,"&lt;"&amp;$AD$3)</f>
        <v>18</v>
      </c>
      <c r="S42" s="28">
        <f>+CNA_Sample[[#This Row],[CNA median]]*CNA_Sample[[#This Row],[Cna Hrsn]]</f>
        <v>1148364.5399999998</v>
      </c>
      <c r="T42" s="28">
        <f>+CNA_Sample[[#This Row],[CNA average]]*CNA_Sample[[#This Row],[Cna Hrsn]]</f>
        <v>1168518.6782608693</v>
      </c>
      <c r="U42" s="30">
        <f>CNA_Sample[[#This Row],[Est median wage cost ]]/CNA_Sample[[#This Row],[Cost]]</f>
        <v>1.0218430046884857</v>
      </c>
      <c r="V42" s="30">
        <f>CNA_Sample[[#This Row],[Est average wage cost]]/CNA_Sample[[#This Row],[Cost]]</f>
        <v>1.0397766524806702</v>
      </c>
      <c r="W42" s="30">
        <f>+CNA_Sample[[#This Row],[CNA min.]]/CNA_Sample[[#This Row],[CNA median]]</f>
        <v>0.91420534458509151</v>
      </c>
      <c r="X42" s="30">
        <f>+CNA_Sample[[#This Row],[CNA max]]/CNA_Sample[[#This Row],[CNA median]]</f>
        <v>1.1992498827941867</v>
      </c>
      <c r="Y42" s="26">
        <f>VLOOKUP(A42,Summary!$1:$1048576,2,FALSE)</f>
        <v>2</v>
      </c>
    </row>
    <row r="43" spans="1:25" x14ac:dyDescent="0.55000000000000004">
      <c r="A43" s="26">
        <v>506</v>
      </c>
      <c r="B43" s="26" t="s">
        <v>54</v>
      </c>
      <c r="C43" s="26">
        <f>VLOOKUP($A43,'SAS Data'!$1:$1048576,MATCH(C$1,'SAS Data'!$3:$3,0),FALSE)</f>
        <v>34</v>
      </c>
      <c r="D43" s="26">
        <f>VLOOKUP($A43,'SAS Data'!$1:$1048576,MATCH(D$1,'SAS Data'!$3:$3,0),FALSE)</f>
        <v>17</v>
      </c>
      <c r="E43" s="26">
        <f t="shared" si="1"/>
        <v>51</v>
      </c>
      <c r="F43" s="27">
        <f>VLOOKUP($A43,'SAS Data'!$1:$1048576,MATCH(F$1,'SAS Data'!$3:$3,0),FALSE)</f>
        <v>21.94651776458392</v>
      </c>
      <c r="G43" s="28">
        <f>VLOOKUP($A43,'SAS Data'!$1:$1048576,MATCH(G$1,'SAS Data'!$3:$3,0),FALSE)</f>
        <v>84888</v>
      </c>
      <c r="H43" s="28">
        <f>+CNA_Sample[[#This Row],[Cna Cph]]*CNA_Sample[[#This Row],[Cna Hrsn]]</f>
        <v>1862995.9999999998</v>
      </c>
      <c r="I43" s="26">
        <v>79</v>
      </c>
      <c r="J43" s="29">
        <v>19.899999999999999</v>
      </c>
      <c r="K43" s="29">
        <v>23.83</v>
      </c>
      <c r="L43" s="29">
        <v>20.43</v>
      </c>
      <c r="M43" s="29">
        <v>21.432531645569632</v>
      </c>
      <c r="N43" s="26">
        <f>COUNTIFS('CNA Detail'!$A:$A,$A43,'CNA Detail'!$C:$C,"&lt;"&amp;L43)</f>
        <v>39</v>
      </c>
      <c r="O43" s="26">
        <f>COUNTIFS('CNA Detail'!$A:$A,$A43,'CNA Detail'!$C:$C,"&lt;"&amp;M43)</f>
        <v>47</v>
      </c>
      <c r="P43" s="26">
        <f>COUNTIFS('CNA Detail'!$A:$A,$A43,'CNA Detail'!$C:$C,"&lt;"&amp;$AD$1)</f>
        <v>79</v>
      </c>
      <c r="Q43" s="26">
        <f>COUNTIFS('CNA Detail'!$A:$A,$A43,'CNA Detail'!$C:$C,"&lt;"&amp;$AD$2)</f>
        <v>41</v>
      </c>
      <c r="R43" s="26">
        <f>COUNTIFS('CNA Detail'!$A:$A,$A43,'CNA Detail'!$C:$C,"&lt;"&amp;$AD$3)</f>
        <v>44</v>
      </c>
      <c r="S43" s="28">
        <f>+CNA_Sample[[#This Row],[CNA median]]*CNA_Sample[[#This Row],[Cna Hrsn]]</f>
        <v>1734261.84</v>
      </c>
      <c r="T43" s="28">
        <f>+CNA_Sample[[#This Row],[CNA average]]*CNA_Sample[[#This Row],[Cna Hrsn]]</f>
        <v>1819364.746329115</v>
      </c>
      <c r="U43" s="30">
        <f>CNA_Sample[[#This Row],[Est median wage cost ]]/CNA_Sample[[#This Row],[Cost]]</f>
        <v>0.93089939001479349</v>
      </c>
      <c r="V43" s="30">
        <f>CNA_Sample[[#This Row],[Est average wage cost]]/CNA_Sample[[#This Row],[Cost]]</f>
        <v>0.97658006046664358</v>
      </c>
      <c r="W43" s="30">
        <f>+CNA_Sample[[#This Row],[CNA min.]]/CNA_Sample[[#This Row],[CNA median]]</f>
        <v>0.97405775819872731</v>
      </c>
      <c r="X43" s="30">
        <f>+CNA_Sample[[#This Row],[CNA max]]/CNA_Sample[[#This Row],[CNA median]]</f>
        <v>1.1664219285364659</v>
      </c>
      <c r="Y43" s="26">
        <f>VLOOKUP(A43,Summary!$1:$1048576,2,FALSE)</f>
        <v>3</v>
      </c>
    </row>
    <row r="44" spans="1:25" x14ac:dyDescent="0.55000000000000004">
      <c r="A44" s="26">
        <v>510</v>
      </c>
      <c r="B44" s="26" t="s">
        <v>54</v>
      </c>
      <c r="C44" s="26">
        <f>VLOOKUP($A44,'SAS Data'!$1:$1048576,MATCH(C$1,'SAS Data'!$3:$3,0),FALSE)</f>
        <v>17</v>
      </c>
      <c r="D44" s="26">
        <f>VLOOKUP($A44,'SAS Data'!$1:$1048576,MATCH(D$1,'SAS Data'!$3:$3,0),FALSE)</f>
        <v>34</v>
      </c>
      <c r="E44" s="26">
        <f t="shared" si="1"/>
        <v>51</v>
      </c>
      <c r="F44" s="27">
        <f>VLOOKUP($A44,'SAS Data'!$1:$1048576,MATCH(F$1,'SAS Data'!$3:$3,0),FALSE)</f>
        <v>28.562031762853064</v>
      </c>
      <c r="G44" s="28">
        <f>VLOOKUP($A44,'SAS Data'!$1:$1048576,MATCH(G$1,'SAS Data'!$3:$3,0),FALSE)</f>
        <v>67941</v>
      </c>
      <c r="H44" s="28">
        <f>+CNA_Sample[[#This Row],[Cna Cph]]*CNA_Sample[[#This Row],[Cna Hrsn]]</f>
        <v>1940533</v>
      </c>
      <c r="I44" s="26">
        <v>42</v>
      </c>
      <c r="J44" s="29">
        <v>17.059999999999999</v>
      </c>
      <c r="K44" s="29">
        <v>22.37</v>
      </c>
      <c r="L44" s="29">
        <v>18.71</v>
      </c>
      <c r="M44" s="29">
        <v>18.872857142857139</v>
      </c>
      <c r="N44" s="26">
        <f>COUNTIFS('CNA Detail'!$A:$A,$A44,'CNA Detail'!$C:$C,"&lt;"&amp;L44)</f>
        <v>21</v>
      </c>
      <c r="O44" s="26">
        <f>COUNTIFS('CNA Detail'!$A:$A,$A44,'CNA Detail'!$C:$C,"&lt;"&amp;M44)</f>
        <v>22</v>
      </c>
      <c r="P44" s="26">
        <f>COUNTIFS('CNA Detail'!$A:$A,$A44,'CNA Detail'!$C:$C,"&lt;"&amp;$AD$1)</f>
        <v>42</v>
      </c>
      <c r="Q44" s="26">
        <f>COUNTIFS('CNA Detail'!$A:$A,$A44,'CNA Detail'!$C:$C,"&lt;"&amp;$AD$2)</f>
        <v>36</v>
      </c>
      <c r="R44" s="26">
        <f>COUNTIFS('CNA Detail'!$A:$A,$A44,'CNA Detail'!$C:$C,"&lt;"&amp;$AD$3)</f>
        <v>37</v>
      </c>
      <c r="S44" s="28">
        <f>+CNA_Sample[[#This Row],[CNA median]]*CNA_Sample[[#This Row],[Cna Hrsn]]</f>
        <v>1271176.1100000001</v>
      </c>
      <c r="T44" s="28">
        <f>+CNA_Sample[[#This Row],[CNA average]]*CNA_Sample[[#This Row],[Cna Hrsn]]</f>
        <v>1282240.787142857</v>
      </c>
      <c r="U44" s="30">
        <f>CNA_Sample[[#This Row],[Est median wage cost ]]/CNA_Sample[[#This Row],[Cost]]</f>
        <v>0.65506544336014905</v>
      </c>
      <c r="V44" s="30">
        <f>CNA_Sample[[#This Row],[Est average wage cost]]/CNA_Sample[[#This Row],[Cost]]</f>
        <v>0.66076731864021743</v>
      </c>
      <c r="W44" s="30">
        <f>+CNA_Sample[[#This Row],[CNA min.]]/CNA_Sample[[#This Row],[CNA median]]</f>
        <v>0.91181186531266689</v>
      </c>
      <c r="X44" s="30">
        <f>+CNA_Sample[[#This Row],[CNA max]]/CNA_Sample[[#This Row],[CNA median]]</f>
        <v>1.1956173169428113</v>
      </c>
      <c r="Y44" s="26">
        <f>VLOOKUP(A44,Summary!$1:$1048576,2,FALSE)</f>
        <v>1</v>
      </c>
    </row>
    <row r="45" spans="1:25" x14ac:dyDescent="0.55000000000000004">
      <c r="A45" s="26">
        <v>535</v>
      </c>
      <c r="B45" s="26" t="s">
        <v>54</v>
      </c>
      <c r="C45" s="26">
        <f>VLOOKUP($A45,'SAS Data'!$1:$1048576,MATCH(C$1,'SAS Data'!$3:$3,0),FALSE)</f>
        <v>14</v>
      </c>
      <c r="D45" s="26">
        <f>VLOOKUP($A45,'SAS Data'!$1:$1048576,MATCH(D$1,'SAS Data'!$3:$3,0),FALSE)</f>
        <v>9</v>
      </c>
      <c r="E45" s="26">
        <f t="shared" si="1"/>
        <v>23</v>
      </c>
      <c r="F45" s="27">
        <f>VLOOKUP($A45,'SAS Data'!$1:$1048576,MATCH(F$1,'SAS Data'!$3:$3,0),FALSE)</f>
        <v>20.64889869910299</v>
      </c>
      <c r="G45" s="28">
        <f>VLOOKUP($A45,'SAS Data'!$1:$1048576,MATCH(G$1,'SAS Data'!$3:$3,0),FALSE)</f>
        <v>42586</v>
      </c>
      <c r="H45" s="28">
        <f>+CNA_Sample[[#This Row],[Cna Cph]]*CNA_Sample[[#This Row],[Cna Hrsn]]</f>
        <v>879353.99999999988</v>
      </c>
      <c r="I45" s="26">
        <v>46</v>
      </c>
      <c r="J45" s="29">
        <v>17.850000000000001</v>
      </c>
      <c r="K45" s="29">
        <v>22.64</v>
      </c>
      <c r="L45" s="29">
        <v>18.03</v>
      </c>
      <c r="M45" s="29">
        <v>18.886086956521748</v>
      </c>
      <c r="N45" s="26">
        <f>COUNTIFS('CNA Detail'!$A:$A,$A45,'CNA Detail'!$C:$C,"&lt;"&amp;L45)</f>
        <v>23</v>
      </c>
      <c r="O45" s="26">
        <f>COUNTIFS('CNA Detail'!$A:$A,$A45,'CNA Detail'!$C:$C,"&lt;"&amp;M45)</f>
        <v>34</v>
      </c>
      <c r="P45" s="26">
        <f>COUNTIFS('CNA Detail'!$A:$A,$A45,'CNA Detail'!$C:$C,"&lt;"&amp;$AD$1)</f>
        <v>46</v>
      </c>
      <c r="Q45" s="26">
        <f>COUNTIFS('CNA Detail'!$A:$A,$A45,'CNA Detail'!$C:$C,"&lt;"&amp;$AD$2)</f>
        <v>36</v>
      </c>
      <c r="R45" s="26">
        <f>COUNTIFS('CNA Detail'!$A:$A,$A45,'CNA Detail'!$C:$C,"&lt;"&amp;$AD$3)</f>
        <v>36</v>
      </c>
      <c r="S45" s="28">
        <f>+CNA_Sample[[#This Row],[CNA median]]*CNA_Sample[[#This Row],[Cna Hrsn]]</f>
        <v>767825.58000000007</v>
      </c>
      <c r="T45" s="28">
        <f>+CNA_Sample[[#This Row],[CNA average]]*CNA_Sample[[#This Row],[Cna Hrsn]]</f>
        <v>804282.89913043519</v>
      </c>
      <c r="U45" s="30">
        <f>CNA_Sample[[#This Row],[Est median wage cost ]]/CNA_Sample[[#This Row],[Cost]]</f>
        <v>0.87317005438082973</v>
      </c>
      <c r="V45" s="30">
        <f>CNA_Sample[[#This Row],[Est average wage cost]]/CNA_Sample[[#This Row],[Cost]]</f>
        <v>0.91462926094659869</v>
      </c>
      <c r="W45" s="30">
        <f>+CNA_Sample[[#This Row],[CNA min.]]/CNA_Sample[[#This Row],[CNA median]]</f>
        <v>0.99001663893510816</v>
      </c>
      <c r="X45" s="30">
        <f>+CNA_Sample[[#This Row],[CNA max]]/CNA_Sample[[#This Row],[CNA median]]</f>
        <v>1.2556849694952856</v>
      </c>
      <c r="Y45" s="26">
        <f>VLOOKUP(A45,Summary!$1:$1048576,2,FALSE)</f>
        <v>3</v>
      </c>
    </row>
    <row r="46" spans="1:25" x14ac:dyDescent="0.55000000000000004">
      <c r="A46" s="26">
        <v>540</v>
      </c>
      <c r="B46" s="26" t="s">
        <v>54</v>
      </c>
      <c r="C46" s="26">
        <f>VLOOKUP($A46,'SAS Data'!$1:$1048576,MATCH(C$1,'SAS Data'!$3:$3,0),FALSE)</f>
        <v>26</v>
      </c>
      <c r="D46" s="26">
        <f>VLOOKUP($A46,'SAS Data'!$1:$1048576,MATCH(D$1,'SAS Data'!$3:$3,0),FALSE)</f>
        <v>6</v>
      </c>
      <c r="E46" s="26">
        <f t="shared" si="1"/>
        <v>32</v>
      </c>
      <c r="F46" s="27">
        <f>VLOOKUP($A46,'SAS Data'!$1:$1048576,MATCH(F$1,'SAS Data'!$3:$3,0),FALSE)</f>
        <v>24.666048282764173</v>
      </c>
      <c r="G46" s="28">
        <f>VLOOKUP($A46,'SAS Data'!$1:$1048576,MATCH(G$1,'SAS Data'!$3:$3,0),FALSE)</f>
        <v>81934</v>
      </c>
      <c r="H46" s="28">
        <f>+CNA_Sample[[#This Row],[Cna Cph]]*CNA_Sample[[#This Row],[Cna Hrsn]]</f>
        <v>2020987.9999999998</v>
      </c>
      <c r="I46" s="26">
        <v>49</v>
      </c>
      <c r="J46" s="29">
        <v>17</v>
      </c>
      <c r="K46" s="29">
        <v>29.39</v>
      </c>
      <c r="L46" s="29">
        <v>24.09</v>
      </c>
      <c r="M46" s="29">
        <v>23.111428571428576</v>
      </c>
      <c r="N46" s="26">
        <f>COUNTIFS('CNA Detail'!$A:$A,$A46,'CNA Detail'!$C:$C,"&lt;"&amp;L46)</f>
        <v>24</v>
      </c>
      <c r="O46" s="26">
        <f>COUNTIFS('CNA Detail'!$A:$A,$A46,'CNA Detail'!$C:$C,"&lt;"&amp;M46)</f>
        <v>22</v>
      </c>
      <c r="P46" s="26">
        <f>COUNTIFS('CNA Detail'!$A:$A,$A46,'CNA Detail'!$C:$C,"&lt;"&amp;$AD$1)</f>
        <v>36</v>
      </c>
      <c r="Q46" s="26">
        <f>COUNTIFS('CNA Detail'!$A:$A,$A46,'CNA Detail'!$C:$C,"&lt;"&amp;$AD$2)</f>
        <v>12</v>
      </c>
      <c r="R46" s="26">
        <f>COUNTIFS('CNA Detail'!$A:$A,$A46,'CNA Detail'!$C:$C,"&lt;"&amp;$AD$3)</f>
        <v>14</v>
      </c>
      <c r="S46" s="28">
        <f>+CNA_Sample[[#This Row],[CNA median]]*CNA_Sample[[#This Row],[Cna Hrsn]]</f>
        <v>1973790.06</v>
      </c>
      <c r="T46" s="28">
        <f>+CNA_Sample[[#This Row],[CNA average]]*CNA_Sample[[#This Row],[Cna Hrsn]]</f>
        <v>1893611.788571429</v>
      </c>
      <c r="U46" s="30">
        <f>CNA_Sample[[#This Row],[Est median wage cost ]]/CNA_Sample[[#This Row],[Cost]]</f>
        <v>0.97664610576609079</v>
      </c>
      <c r="V46" s="30">
        <f>CNA_Sample[[#This Row],[Est average wage cost]]/CNA_Sample[[#This Row],[Cost]]</f>
        <v>0.93697329651211647</v>
      </c>
      <c r="W46" s="30">
        <f>+CNA_Sample[[#This Row],[CNA min.]]/CNA_Sample[[#This Row],[CNA median]]</f>
        <v>0.70568700705687004</v>
      </c>
      <c r="X46" s="30">
        <f>+CNA_Sample[[#This Row],[CNA max]]/CNA_Sample[[#This Row],[CNA median]]</f>
        <v>1.2200083022000832</v>
      </c>
      <c r="Y46" s="26">
        <f>VLOOKUP(A46,Summary!$1:$1048576,2,FALSE)</f>
        <v>2</v>
      </c>
    </row>
    <row r="47" spans="1:25" x14ac:dyDescent="0.55000000000000004">
      <c r="A47" s="26">
        <v>542</v>
      </c>
      <c r="B47" s="26" t="s">
        <v>54</v>
      </c>
      <c r="C47" s="26">
        <f>VLOOKUP($A47,'SAS Data'!$1:$1048576,MATCH(C$1,'SAS Data'!$3:$3,0),FALSE)</f>
        <v>8</v>
      </c>
      <c r="D47" s="26">
        <f>VLOOKUP($A47,'SAS Data'!$1:$1048576,MATCH(D$1,'SAS Data'!$3:$3,0),FALSE)</f>
        <v>8</v>
      </c>
      <c r="E47" s="26">
        <f t="shared" si="1"/>
        <v>16</v>
      </c>
      <c r="F47" s="27">
        <f>VLOOKUP($A47,'SAS Data'!$1:$1048576,MATCH(F$1,'SAS Data'!$3:$3,0),FALSE)</f>
        <v>24.992245284467533</v>
      </c>
      <c r="G47" s="28">
        <f>VLOOKUP($A47,'SAS Data'!$1:$1048576,MATCH(G$1,'SAS Data'!$3:$3,0),FALSE)</f>
        <v>39073</v>
      </c>
      <c r="H47" s="28">
        <f>+CNA_Sample[[#This Row],[Cna Cph]]*CNA_Sample[[#This Row],[Cna Hrsn]]</f>
        <v>976521.99999999988</v>
      </c>
      <c r="I47" s="26">
        <v>46</v>
      </c>
      <c r="J47" s="29">
        <v>19.5</v>
      </c>
      <c r="K47" s="29">
        <v>25.41</v>
      </c>
      <c r="L47" s="29">
        <v>20.5</v>
      </c>
      <c r="M47" s="29">
        <v>20.984130434782607</v>
      </c>
      <c r="N47" s="26">
        <f>COUNTIFS('CNA Detail'!$A:$A,$A47,'CNA Detail'!$C:$C,"&lt;"&amp;L47)</f>
        <v>13</v>
      </c>
      <c r="O47" s="26">
        <f>COUNTIFS('CNA Detail'!$A:$A,$A47,'CNA Detail'!$C:$C,"&lt;"&amp;M47)</f>
        <v>34</v>
      </c>
      <c r="P47" s="26">
        <f>COUNTIFS('CNA Detail'!$A:$A,$A47,'CNA Detail'!$C:$C,"&lt;"&amp;$AD$1)</f>
        <v>44</v>
      </c>
      <c r="Q47" s="26">
        <f>COUNTIFS('CNA Detail'!$A:$A,$A47,'CNA Detail'!$C:$C,"&lt;"&amp;$AD$2)</f>
        <v>31</v>
      </c>
      <c r="R47" s="26">
        <f>COUNTIFS('CNA Detail'!$A:$A,$A47,'CNA Detail'!$C:$C,"&lt;"&amp;$AD$3)</f>
        <v>31</v>
      </c>
      <c r="S47" s="28">
        <f>+CNA_Sample[[#This Row],[CNA median]]*CNA_Sample[[#This Row],[Cna Hrsn]]</f>
        <v>800996.5</v>
      </c>
      <c r="T47" s="28">
        <f>+CNA_Sample[[#This Row],[CNA average]]*CNA_Sample[[#This Row],[Cna Hrsn]]</f>
        <v>819912.92847826076</v>
      </c>
      <c r="U47" s="30">
        <f>CNA_Sample[[#This Row],[Est median wage cost ]]/CNA_Sample[[#This Row],[Cost]]</f>
        <v>0.82025443359187</v>
      </c>
      <c r="V47" s="30">
        <f>CNA_Sample[[#This Row],[Est average wage cost]]/CNA_Sample[[#This Row],[Cost]]</f>
        <v>0.8396256597170989</v>
      </c>
      <c r="W47" s="30">
        <f>+CNA_Sample[[#This Row],[CNA min.]]/CNA_Sample[[#This Row],[CNA median]]</f>
        <v>0.95121951219512191</v>
      </c>
      <c r="X47" s="30">
        <f>+CNA_Sample[[#This Row],[CNA max]]/CNA_Sample[[#This Row],[CNA median]]</f>
        <v>1.2395121951219512</v>
      </c>
      <c r="Y47" s="26">
        <f>VLOOKUP(A47,Summary!$1:$1048576,2,FALSE)</f>
        <v>3</v>
      </c>
    </row>
    <row r="48" spans="1:25" x14ac:dyDescent="0.55000000000000004">
      <c r="A48" s="26">
        <v>543</v>
      </c>
      <c r="B48" s="26" t="s">
        <v>54</v>
      </c>
      <c r="C48" s="26">
        <f>VLOOKUP($A48,'SAS Data'!$1:$1048576,MATCH(C$1,'SAS Data'!$3:$3,0),FALSE)</f>
        <v>11</v>
      </c>
      <c r="D48" s="26">
        <f>VLOOKUP($A48,'SAS Data'!$1:$1048576,MATCH(D$1,'SAS Data'!$3:$3,0),FALSE)</f>
        <v>13</v>
      </c>
      <c r="E48" s="26">
        <f t="shared" si="1"/>
        <v>24</v>
      </c>
      <c r="F48" s="27">
        <f>VLOOKUP($A48,'SAS Data'!$1:$1048576,MATCH(F$1,'SAS Data'!$3:$3,0),FALSE)</f>
        <v>24.981851466085914</v>
      </c>
      <c r="G48" s="28">
        <f>VLOOKUP($A48,'SAS Data'!$1:$1048576,MATCH(G$1,'SAS Data'!$3:$3,0),FALSE)</f>
        <v>31683</v>
      </c>
      <c r="H48" s="28">
        <f>+CNA_Sample[[#This Row],[Cna Cph]]*CNA_Sample[[#This Row],[Cna Hrsn]]</f>
        <v>791500</v>
      </c>
      <c r="I48" s="26">
        <v>17</v>
      </c>
      <c r="J48" s="29">
        <v>17</v>
      </c>
      <c r="K48" s="29">
        <v>21.6</v>
      </c>
      <c r="L48" s="29">
        <v>20.34</v>
      </c>
      <c r="M48" s="29">
        <v>19.793529411764709</v>
      </c>
      <c r="N48" s="26">
        <f>COUNTIFS('CNA Detail'!$A:$A,$A48,'CNA Detail'!$C:$C,"&lt;"&amp;L48)</f>
        <v>8</v>
      </c>
      <c r="O48" s="26">
        <f>COUNTIFS('CNA Detail'!$A:$A,$A48,'CNA Detail'!$C:$C,"&lt;"&amp;M48)</f>
        <v>8</v>
      </c>
      <c r="P48" s="26">
        <f>COUNTIFS('CNA Detail'!$A:$A,$A48,'CNA Detail'!$C:$C,"&lt;"&amp;$AD$1)</f>
        <v>17</v>
      </c>
      <c r="Q48" s="26">
        <f>COUNTIFS('CNA Detail'!$A:$A,$A48,'CNA Detail'!$C:$C,"&lt;"&amp;$AD$2)</f>
        <v>10</v>
      </c>
      <c r="R48" s="26">
        <f>COUNTIFS('CNA Detail'!$A:$A,$A48,'CNA Detail'!$C:$C,"&lt;"&amp;$AD$3)</f>
        <v>13</v>
      </c>
      <c r="S48" s="28">
        <f>+CNA_Sample[[#This Row],[CNA median]]*CNA_Sample[[#This Row],[Cna Hrsn]]</f>
        <v>644432.22</v>
      </c>
      <c r="T48" s="28">
        <f>+CNA_Sample[[#This Row],[CNA average]]*CNA_Sample[[#This Row],[Cna Hrsn]]</f>
        <v>627118.39235294133</v>
      </c>
      <c r="U48" s="30">
        <f>CNA_Sample[[#This Row],[Est median wage cost ]]/CNA_Sample[[#This Row],[Cost]]</f>
        <v>0.81419105495893873</v>
      </c>
      <c r="V48" s="30">
        <f>CNA_Sample[[#This Row],[Est average wage cost]]/CNA_Sample[[#This Row],[Cost]]</f>
        <v>0.79231635167775283</v>
      </c>
      <c r="W48" s="30">
        <f>+CNA_Sample[[#This Row],[CNA min.]]/CNA_Sample[[#This Row],[CNA median]]</f>
        <v>0.83579154375614551</v>
      </c>
      <c r="X48" s="30">
        <f>+CNA_Sample[[#This Row],[CNA max]]/CNA_Sample[[#This Row],[CNA median]]</f>
        <v>1.0619469026548674</v>
      </c>
      <c r="Y48" s="26">
        <f>VLOOKUP(A48,Summary!$1:$1048576,2,FALSE)</f>
        <v>1</v>
      </c>
    </row>
    <row r="49" spans="1:25" x14ac:dyDescent="0.55000000000000004">
      <c r="A49" s="26">
        <v>550</v>
      </c>
      <c r="B49" s="26" t="s">
        <v>54</v>
      </c>
      <c r="C49" s="26">
        <f>VLOOKUP($A49,'SAS Data'!$1:$1048576,MATCH(C$1,'SAS Data'!$3:$3,0),FALSE)</f>
        <v>14</v>
      </c>
      <c r="D49" s="26">
        <f>VLOOKUP($A49,'SAS Data'!$1:$1048576,MATCH(D$1,'SAS Data'!$3:$3,0),FALSE)</f>
        <v>10</v>
      </c>
      <c r="E49" s="26">
        <f t="shared" si="1"/>
        <v>24</v>
      </c>
      <c r="F49" s="27">
        <f>VLOOKUP($A49,'SAS Data'!$1:$1048576,MATCH(F$1,'SAS Data'!$3:$3,0),FALSE)</f>
        <v>25.966503428011752</v>
      </c>
      <c r="G49" s="28">
        <f>VLOOKUP($A49,'SAS Data'!$1:$1048576,MATCH(G$1,'SAS Data'!$3:$3,0),FALSE)</f>
        <v>40840</v>
      </c>
      <c r="H49" s="28">
        <f>+CNA_Sample[[#This Row],[Cna Cph]]*CNA_Sample[[#This Row],[Cna Hrsn]]</f>
        <v>1060472</v>
      </c>
      <c r="I49" s="26">
        <v>17</v>
      </c>
      <c r="J49" s="29">
        <v>19.14</v>
      </c>
      <c r="K49" s="29">
        <v>21.57</v>
      </c>
      <c r="L49" s="29">
        <v>20.14</v>
      </c>
      <c r="M49" s="29">
        <v>20.210588235294114</v>
      </c>
      <c r="N49" s="26">
        <f>COUNTIFS('CNA Detail'!$A:$A,$A49,'CNA Detail'!$C:$C,"&lt;"&amp;L49)</f>
        <v>5</v>
      </c>
      <c r="O49" s="26">
        <f>COUNTIFS('CNA Detail'!$A:$A,$A49,'CNA Detail'!$C:$C,"&lt;"&amp;M49)</f>
        <v>9</v>
      </c>
      <c r="P49" s="26">
        <f>COUNTIFS('CNA Detail'!$A:$A,$A49,'CNA Detail'!$C:$C,"&lt;"&amp;$AD$1)</f>
        <v>17</v>
      </c>
      <c r="Q49" s="26">
        <f>COUNTIFS('CNA Detail'!$A:$A,$A49,'CNA Detail'!$C:$C,"&lt;"&amp;$AD$2)</f>
        <v>11</v>
      </c>
      <c r="R49" s="26">
        <f>COUNTIFS('CNA Detail'!$A:$A,$A49,'CNA Detail'!$C:$C,"&lt;"&amp;$AD$3)</f>
        <v>13</v>
      </c>
      <c r="S49" s="28">
        <f>+CNA_Sample[[#This Row],[CNA median]]*CNA_Sample[[#This Row],[Cna Hrsn]]</f>
        <v>822517.6</v>
      </c>
      <c r="T49" s="28">
        <f>+CNA_Sample[[#This Row],[CNA average]]*CNA_Sample[[#This Row],[Cna Hrsn]]</f>
        <v>825400.42352941167</v>
      </c>
      <c r="U49" s="30">
        <f>CNA_Sample[[#This Row],[Est median wage cost ]]/CNA_Sample[[#This Row],[Cost]]</f>
        <v>0.77561463197519598</v>
      </c>
      <c r="V49" s="30">
        <f>CNA_Sample[[#This Row],[Est average wage cost]]/CNA_Sample[[#This Row],[Cost]]</f>
        <v>0.77833306634160226</v>
      </c>
      <c r="W49" s="30">
        <f>+CNA_Sample[[#This Row],[CNA min.]]/CNA_Sample[[#This Row],[CNA median]]</f>
        <v>0.95034756703078449</v>
      </c>
      <c r="X49" s="30">
        <f>+CNA_Sample[[#This Row],[CNA max]]/CNA_Sample[[#This Row],[CNA median]]</f>
        <v>1.0710029791459781</v>
      </c>
      <c r="Y49" s="26">
        <f>VLOOKUP(A49,Summary!$1:$1048576,2,FALSE)</f>
        <v>2</v>
      </c>
    </row>
    <row r="50" spans="1:25" x14ac:dyDescent="0.55000000000000004">
      <c r="A50" s="26">
        <v>555</v>
      </c>
      <c r="B50" s="26" t="s">
        <v>54</v>
      </c>
      <c r="C50" s="26">
        <f>VLOOKUP($A50,'SAS Data'!$1:$1048576,MATCH(C$1,'SAS Data'!$3:$3,0),FALSE)</f>
        <v>7</v>
      </c>
      <c r="D50" s="26">
        <f>VLOOKUP($A50,'SAS Data'!$1:$1048576,MATCH(D$1,'SAS Data'!$3:$3,0),FALSE)</f>
        <v>17</v>
      </c>
      <c r="E50" s="26">
        <f t="shared" si="1"/>
        <v>24</v>
      </c>
      <c r="F50" s="27">
        <f>VLOOKUP($A50,'SAS Data'!$1:$1048576,MATCH(F$1,'SAS Data'!$3:$3,0),FALSE)</f>
        <v>26.083106964292742</v>
      </c>
      <c r="G50" s="28">
        <f>VLOOKUP($A50,'SAS Data'!$1:$1048576,MATCH(G$1,'SAS Data'!$3:$3,0),FALSE)</f>
        <v>25401</v>
      </c>
      <c r="H50" s="28">
        <f>+CNA_Sample[[#This Row],[Cna Cph]]*CNA_Sample[[#This Row],[Cna Hrsn]]</f>
        <v>662537</v>
      </c>
      <c r="I50" s="26">
        <v>23</v>
      </c>
      <c r="J50" s="29">
        <v>18.25</v>
      </c>
      <c r="K50" s="29">
        <v>23.01</v>
      </c>
      <c r="L50" s="29">
        <v>18.940000000000001</v>
      </c>
      <c r="M50" s="29">
        <v>19.238695652173917</v>
      </c>
      <c r="N50" s="26">
        <f>COUNTIFS('CNA Detail'!$A:$A,$A50,'CNA Detail'!$C:$C,"&lt;"&amp;L50)</f>
        <v>11</v>
      </c>
      <c r="O50" s="26">
        <f>COUNTIFS('CNA Detail'!$A:$A,$A50,'CNA Detail'!$C:$C,"&lt;"&amp;M50)</f>
        <v>18</v>
      </c>
      <c r="P50" s="26">
        <f>COUNTIFS('CNA Detail'!$A:$A,$A50,'CNA Detail'!$C:$C,"&lt;"&amp;$AD$1)</f>
        <v>23</v>
      </c>
      <c r="Q50" s="26">
        <f>COUNTIFS('CNA Detail'!$A:$A,$A50,'CNA Detail'!$C:$C,"&lt;"&amp;$AD$2)</f>
        <v>20</v>
      </c>
      <c r="R50" s="26">
        <f>COUNTIFS('CNA Detail'!$A:$A,$A50,'CNA Detail'!$C:$C,"&lt;"&amp;$AD$3)</f>
        <v>20</v>
      </c>
      <c r="S50" s="28">
        <f>+CNA_Sample[[#This Row],[CNA median]]*CNA_Sample[[#This Row],[Cna Hrsn]]</f>
        <v>481094.94000000006</v>
      </c>
      <c r="T50" s="28">
        <f>+CNA_Sample[[#This Row],[CNA average]]*CNA_Sample[[#This Row],[Cna Hrsn]]</f>
        <v>488682.10826086963</v>
      </c>
      <c r="U50" s="30">
        <f>CNA_Sample[[#This Row],[Est median wage cost ]]/CNA_Sample[[#This Row],[Cost]]</f>
        <v>0.72614048724825941</v>
      </c>
      <c r="V50" s="30">
        <f>CNA_Sample[[#This Row],[Est average wage cost]]/CNA_Sample[[#This Row],[Cost]]</f>
        <v>0.73759217713255198</v>
      </c>
      <c r="W50" s="30">
        <f>+CNA_Sample[[#This Row],[CNA min.]]/CNA_Sample[[#This Row],[CNA median]]</f>
        <v>0.96356916578669471</v>
      </c>
      <c r="X50" s="30">
        <f>+CNA_Sample[[#This Row],[CNA max]]/CNA_Sample[[#This Row],[CNA median]]</f>
        <v>1.2148891235480466</v>
      </c>
      <c r="Y50" s="26">
        <f>VLOOKUP(A50,Summary!$1:$1048576,2,FALSE)</f>
        <v>1</v>
      </c>
    </row>
    <row r="51" spans="1:25" x14ac:dyDescent="0.55000000000000004">
      <c r="A51" s="26">
        <v>558</v>
      </c>
      <c r="B51" s="26" t="s">
        <v>54</v>
      </c>
      <c r="C51" s="26">
        <f>VLOOKUP($A51,'SAS Data'!$1:$1048576,MATCH(C$1,'SAS Data'!$3:$3,0),FALSE)</f>
        <v>15</v>
      </c>
      <c r="D51" s="26">
        <f>VLOOKUP($A51,'SAS Data'!$1:$1048576,MATCH(D$1,'SAS Data'!$3:$3,0),FALSE)</f>
        <v>21</v>
      </c>
      <c r="E51" s="26">
        <f t="shared" si="1"/>
        <v>36</v>
      </c>
      <c r="F51" s="27">
        <f>VLOOKUP($A51,'SAS Data'!$1:$1048576,MATCH(F$1,'SAS Data'!$3:$3,0),FALSE)</f>
        <v>24.894817406516509</v>
      </c>
      <c r="G51" s="28">
        <f>VLOOKUP($A51,'SAS Data'!$1:$1048576,MATCH(G$1,'SAS Data'!$3:$3,0),FALSE)</f>
        <v>50303</v>
      </c>
      <c r="H51" s="28">
        <f>+CNA_Sample[[#This Row],[Cna Cph]]*CNA_Sample[[#This Row],[Cna Hrsn]]</f>
        <v>1252284</v>
      </c>
      <c r="I51" s="26">
        <v>15</v>
      </c>
      <c r="J51" s="29">
        <v>18.25</v>
      </c>
      <c r="K51" s="29">
        <v>25</v>
      </c>
      <c r="L51" s="29">
        <v>19.75</v>
      </c>
      <c r="M51" s="29">
        <v>20.475000000000001</v>
      </c>
      <c r="N51" s="26">
        <f>COUNTIFS('CNA Detail'!$A:$A,$A51,'CNA Detail'!$C:$C,"&lt;"&amp;L51)</f>
        <v>14</v>
      </c>
      <c r="O51" s="26">
        <f>COUNTIFS('CNA Detail'!$A:$A,$A51,'CNA Detail'!$C:$C,"&lt;"&amp;M51)</f>
        <v>15</v>
      </c>
      <c r="P51" s="26">
        <f>COUNTIFS('CNA Detail'!$A:$A,$A51,'CNA Detail'!$C:$C,"&lt;"&amp;$AD$1)</f>
        <v>15</v>
      </c>
      <c r="Q51" s="26">
        <f>COUNTIFS('CNA Detail'!$A:$A,$A51,'CNA Detail'!$C:$C,"&lt;"&amp;$AD$2)</f>
        <v>15</v>
      </c>
      <c r="R51" s="26">
        <f>COUNTIFS('CNA Detail'!$A:$A,$A51,'CNA Detail'!$C:$C,"&lt;"&amp;$AD$3)</f>
        <v>15</v>
      </c>
      <c r="S51" s="28">
        <f>+CNA_Sample[[#This Row],[CNA median]]*CNA_Sample[[#This Row],[Cna Hrsn]]</f>
        <v>993484.25</v>
      </c>
      <c r="T51" s="28">
        <f>+CNA_Sample[[#This Row],[CNA average]]*CNA_Sample[[#This Row],[Cna Hrsn]]</f>
        <v>1029953.925</v>
      </c>
      <c r="U51" s="30">
        <f>CNA_Sample[[#This Row],[Est median wage cost ]]/CNA_Sample[[#This Row],[Cost]]</f>
        <v>0.79333781314781626</v>
      </c>
      <c r="V51" s="30">
        <f>CNA_Sample[[#This Row],[Est average wage cost]]/CNA_Sample[[#This Row],[Cost]]</f>
        <v>0.82246034046590077</v>
      </c>
      <c r="W51" s="30">
        <f>+CNA_Sample[[#This Row],[CNA min.]]/CNA_Sample[[#This Row],[CNA median]]</f>
        <v>0.92405063291139244</v>
      </c>
      <c r="X51" s="30">
        <f>+CNA_Sample[[#This Row],[CNA max]]/CNA_Sample[[#This Row],[CNA median]]</f>
        <v>1.2658227848101267</v>
      </c>
      <c r="Y51" s="26">
        <f>VLOOKUP(A51,Summary!$1:$1048576,2,FALSE)</f>
        <v>1</v>
      </c>
    </row>
    <row r="52" spans="1:25" x14ac:dyDescent="0.55000000000000004">
      <c r="A52" s="26">
        <v>560</v>
      </c>
      <c r="B52" s="26" t="s">
        <v>54</v>
      </c>
      <c r="C52" s="26">
        <f>VLOOKUP($A52,'SAS Data'!$1:$1048576,MATCH(C$1,'SAS Data'!$3:$3,0),FALSE)</f>
        <v>60</v>
      </c>
      <c r="D52" s="26">
        <f>VLOOKUP($A52,'SAS Data'!$1:$1048576,MATCH(D$1,'SAS Data'!$3:$3,0),FALSE)</f>
        <v>21</v>
      </c>
      <c r="E52" s="26">
        <f t="shared" si="1"/>
        <v>81</v>
      </c>
      <c r="F52" s="27">
        <f>VLOOKUP($A52,'SAS Data'!$1:$1048576,MATCH(F$1,'SAS Data'!$3:$3,0),FALSE)</f>
        <v>22.907948912634186</v>
      </c>
      <c r="G52" s="28">
        <f>VLOOKUP($A52,'SAS Data'!$1:$1048576,MATCH(G$1,'SAS Data'!$3:$3,0),FALSE)</f>
        <v>161997</v>
      </c>
      <c r="H52" s="28">
        <f>+CNA_Sample[[#This Row],[Cna Cph]]*CNA_Sample[[#This Row],[Cna Hrsn]]</f>
        <v>3711019.0000000005</v>
      </c>
      <c r="I52" s="26">
        <v>82</v>
      </c>
      <c r="J52" s="29">
        <v>17.100000000000001</v>
      </c>
      <c r="K52" s="29">
        <v>25.36</v>
      </c>
      <c r="L52" s="29">
        <v>21.01</v>
      </c>
      <c r="M52" s="29">
        <v>20.872198780487796</v>
      </c>
      <c r="N52" s="26">
        <f>COUNTIFS('CNA Detail'!$A:$A,$A52,'CNA Detail'!$C:$C,"&lt;"&amp;L52)</f>
        <v>40</v>
      </c>
      <c r="O52" s="26">
        <f>COUNTIFS('CNA Detail'!$A:$A,$A52,'CNA Detail'!$C:$C,"&lt;"&amp;M52)</f>
        <v>40</v>
      </c>
      <c r="P52" s="26">
        <f>COUNTIFS('CNA Detail'!$A:$A,$A52,'CNA Detail'!$C:$C,"&lt;"&amp;$AD$1)</f>
        <v>81</v>
      </c>
      <c r="Q52" s="26">
        <f>COUNTIFS('CNA Detail'!$A:$A,$A52,'CNA Detail'!$C:$C,"&lt;"&amp;$AD$2)</f>
        <v>33</v>
      </c>
      <c r="R52" s="26">
        <f>COUNTIFS('CNA Detail'!$A:$A,$A52,'CNA Detail'!$C:$C,"&lt;"&amp;$AD$3)</f>
        <v>40</v>
      </c>
      <c r="S52" s="28">
        <f>+CNA_Sample[[#This Row],[CNA median]]*CNA_Sample[[#This Row],[Cna Hrsn]]</f>
        <v>3403556.97</v>
      </c>
      <c r="T52" s="28">
        <f>+CNA_Sample[[#This Row],[CNA average]]*CNA_Sample[[#This Row],[Cna Hrsn]]</f>
        <v>3381233.5858426816</v>
      </c>
      <c r="U52" s="30">
        <f>CNA_Sample[[#This Row],[Est median wage cost ]]/CNA_Sample[[#This Row],[Cost]]</f>
        <v>0.91714889360577234</v>
      </c>
      <c r="V52" s="30">
        <f>CNA_Sample[[#This Row],[Est average wage cost]]/CNA_Sample[[#This Row],[Cost]]</f>
        <v>0.91113346114441374</v>
      </c>
      <c r="W52" s="30">
        <f>+CNA_Sample[[#This Row],[CNA min.]]/CNA_Sample[[#This Row],[CNA median]]</f>
        <v>0.81389814374107572</v>
      </c>
      <c r="X52" s="30">
        <f>+CNA_Sample[[#This Row],[CNA max]]/CNA_Sample[[#This Row],[CNA median]]</f>
        <v>1.2070442646358877</v>
      </c>
      <c r="Y52" s="26">
        <f>VLOOKUP(A52,Summary!$1:$1048576,2,FALSE)</f>
        <v>3</v>
      </c>
    </row>
    <row r="53" spans="1:25" x14ac:dyDescent="0.55000000000000004">
      <c r="A53" s="26">
        <v>563</v>
      </c>
      <c r="B53" s="26" t="s">
        <v>54</v>
      </c>
      <c r="C53" s="26">
        <f>VLOOKUP($A53,'SAS Data'!$1:$1048576,MATCH(C$1,'SAS Data'!$3:$3,0),FALSE)</f>
        <v>8</v>
      </c>
      <c r="D53" s="26">
        <f>VLOOKUP($A53,'SAS Data'!$1:$1048576,MATCH(D$1,'SAS Data'!$3:$3,0),FALSE)</f>
        <v>24</v>
      </c>
      <c r="E53" s="26">
        <f t="shared" si="1"/>
        <v>32</v>
      </c>
      <c r="F53" s="27">
        <f>VLOOKUP($A53,'SAS Data'!$1:$1048576,MATCH(F$1,'SAS Data'!$3:$3,0),FALSE)</f>
        <v>20.217378357453399</v>
      </c>
      <c r="G53" s="28">
        <f>VLOOKUP($A53,'SAS Data'!$1:$1048576,MATCH(G$1,'SAS Data'!$3:$3,0),FALSE)</f>
        <v>33582</v>
      </c>
      <c r="H53" s="28">
        <f>+CNA_Sample[[#This Row],[Cna Cph]]*CNA_Sample[[#This Row],[Cna Hrsn]]</f>
        <v>678940</v>
      </c>
      <c r="I53" s="26">
        <v>45</v>
      </c>
      <c r="J53" s="29">
        <v>19</v>
      </c>
      <c r="K53" s="29">
        <v>23.5</v>
      </c>
      <c r="L53" s="29">
        <v>21</v>
      </c>
      <c r="M53" s="29">
        <v>21.18</v>
      </c>
      <c r="N53" s="26">
        <f>COUNTIFS('CNA Detail'!$A:$A,$A53,'CNA Detail'!$C:$C,"&lt;"&amp;L53)</f>
        <v>8</v>
      </c>
      <c r="O53" s="26">
        <f>COUNTIFS('CNA Detail'!$A:$A,$A53,'CNA Detail'!$C:$C,"&lt;"&amp;M53)</f>
        <v>31</v>
      </c>
      <c r="P53" s="26">
        <f>COUNTIFS('CNA Detail'!$A:$A,$A53,'CNA Detail'!$C:$C,"&lt;"&amp;$AD$1)</f>
        <v>45</v>
      </c>
      <c r="Q53" s="26">
        <f>COUNTIFS('CNA Detail'!$A:$A,$A53,'CNA Detail'!$C:$C,"&lt;"&amp;$AD$2)</f>
        <v>7</v>
      </c>
      <c r="R53" s="26">
        <f>COUNTIFS('CNA Detail'!$A:$A,$A53,'CNA Detail'!$C:$C,"&lt;"&amp;$AD$3)</f>
        <v>8</v>
      </c>
      <c r="S53" s="28">
        <f>+CNA_Sample[[#This Row],[CNA median]]*CNA_Sample[[#This Row],[Cna Hrsn]]</f>
        <v>705222</v>
      </c>
      <c r="T53" s="28">
        <f>+CNA_Sample[[#This Row],[CNA average]]*CNA_Sample[[#This Row],[Cna Hrsn]]</f>
        <v>711266.76</v>
      </c>
      <c r="U53" s="30">
        <f>CNA_Sample[[#This Row],[Est median wage cost ]]/CNA_Sample[[#This Row],[Cost]]</f>
        <v>1.0387103425928654</v>
      </c>
      <c r="V53" s="30">
        <f>CNA_Sample[[#This Row],[Est average wage cost]]/CNA_Sample[[#This Row],[Cost]]</f>
        <v>1.0476135741008041</v>
      </c>
      <c r="W53" s="30">
        <f>+CNA_Sample[[#This Row],[CNA min.]]/CNA_Sample[[#This Row],[CNA median]]</f>
        <v>0.90476190476190477</v>
      </c>
      <c r="X53" s="30">
        <f>+CNA_Sample[[#This Row],[CNA max]]/CNA_Sample[[#This Row],[CNA median]]</f>
        <v>1.1190476190476191</v>
      </c>
      <c r="Y53" s="26">
        <f>VLOOKUP(A53,Summary!$1:$1048576,2,FALSE)</f>
        <v>2</v>
      </c>
    </row>
    <row r="54" spans="1:25" x14ac:dyDescent="0.55000000000000004">
      <c r="A54" s="26">
        <v>572</v>
      </c>
      <c r="B54" s="26" t="s">
        <v>54</v>
      </c>
      <c r="C54" s="26">
        <f>VLOOKUP($A54,'SAS Data'!$1:$1048576,MATCH(C$1,'SAS Data'!$3:$3,0),FALSE)</f>
        <v>16</v>
      </c>
      <c r="D54" s="26">
        <f>VLOOKUP($A54,'SAS Data'!$1:$1048576,MATCH(D$1,'SAS Data'!$3:$3,0),FALSE)</f>
        <v>8</v>
      </c>
      <c r="E54" s="26">
        <f t="shared" si="1"/>
        <v>24</v>
      </c>
      <c r="F54" s="27">
        <f>VLOOKUP($A54,'SAS Data'!$1:$1048576,MATCH(F$1,'SAS Data'!$3:$3,0),FALSE)</f>
        <v>21.60341825604899</v>
      </c>
      <c r="G54" s="28">
        <f>VLOOKUP($A54,'SAS Data'!$1:$1048576,MATCH(G$1,'SAS Data'!$3:$3,0),FALSE)</f>
        <v>49967</v>
      </c>
      <c r="H54" s="28">
        <f>+CNA_Sample[[#This Row],[Cna Cph]]*CNA_Sample[[#This Row],[Cna Hrsn]]</f>
        <v>1079457.9999999998</v>
      </c>
      <c r="I54" s="26">
        <v>26</v>
      </c>
      <c r="J54" s="29">
        <v>20.309999999999999</v>
      </c>
      <c r="K54" s="29">
        <v>23.91</v>
      </c>
      <c r="L54" s="29">
        <v>21.88</v>
      </c>
      <c r="M54" s="29">
        <v>22.018461538461541</v>
      </c>
      <c r="N54" s="26">
        <f>COUNTIFS('CNA Detail'!$A:$A,$A54,'CNA Detail'!$C:$C,"&lt;"&amp;L54)</f>
        <v>12</v>
      </c>
      <c r="O54" s="26">
        <f>COUNTIFS('CNA Detail'!$A:$A,$A54,'CNA Detail'!$C:$C,"&lt;"&amp;M54)</f>
        <v>16</v>
      </c>
      <c r="P54" s="26">
        <f>COUNTIFS('CNA Detail'!$A:$A,$A54,'CNA Detail'!$C:$C,"&lt;"&amp;$AD$1)</f>
        <v>26</v>
      </c>
      <c r="Q54" s="26">
        <f>COUNTIFS('CNA Detail'!$A:$A,$A54,'CNA Detail'!$C:$C,"&lt;"&amp;$AD$2)</f>
        <v>4</v>
      </c>
      <c r="R54" s="26">
        <f>COUNTIFS('CNA Detail'!$A:$A,$A54,'CNA Detail'!$C:$C,"&lt;"&amp;$AD$3)</f>
        <v>4</v>
      </c>
      <c r="S54" s="28">
        <f>+CNA_Sample[[#This Row],[CNA median]]*CNA_Sample[[#This Row],[Cna Hrsn]]</f>
        <v>1093277.96</v>
      </c>
      <c r="T54" s="28">
        <f>+CNA_Sample[[#This Row],[CNA average]]*CNA_Sample[[#This Row],[Cna Hrsn]]</f>
        <v>1100196.4676923079</v>
      </c>
      <c r="U54" s="30">
        <f>CNA_Sample[[#This Row],[Est median wage cost ]]/CNA_Sample[[#This Row],[Cost]]</f>
        <v>1.0128026843100892</v>
      </c>
      <c r="V54" s="30">
        <f>CNA_Sample[[#This Row],[Est average wage cost]]/CNA_Sample[[#This Row],[Cost]]</f>
        <v>1.0192119264411474</v>
      </c>
      <c r="W54" s="30">
        <f>+CNA_Sample[[#This Row],[CNA min.]]/CNA_Sample[[#This Row],[CNA median]]</f>
        <v>0.92824497257769656</v>
      </c>
      <c r="X54" s="30">
        <f>+CNA_Sample[[#This Row],[CNA max]]/CNA_Sample[[#This Row],[CNA median]]</f>
        <v>1.0927787934186473</v>
      </c>
      <c r="Y54" s="26">
        <f>VLOOKUP(A54,Summary!$1:$1048576,2,FALSE)</f>
        <v>2</v>
      </c>
    </row>
    <row r="55" spans="1:25" x14ac:dyDescent="0.55000000000000004">
      <c r="A55" s="26">
        <v>584</v>
      </c>
      <c r="B55" s="26" t="s">
        <v>54</v>
      </c>
      <c r="C55" s="26">
        <f>VLOOKUP($A55,'SAS Data'!$1:$1048576,MATCH(C$1,'SAS Data'!$3:$3,0),FALSE)</f>
        <v>13</v>
      </c>
      <c r="D55" s="26">
        <f>VLOOKUP($A55,'SAS Data'!$1:$1048576,MATCH(D$1,'SAS Data'!$3:$3,0),FALSE)</f>
        <v>1</v>
      </c>
      <c r="E55" s="26">
        <f t="shared" si="1"/>
        <v>14</v>
      </c>
      <c r="F55" s="27">
        <f>VLOOKUP($A55,'SAS Data'!$1:$1048576,MATCH(F$1,'SAS Data'!$3:$3,0),FALSE)</f>
        <v>22.700017215654771</v>
      </c>
      <c r="G55" s="28">
        <f>VLOOKUP($A55,'SAS Data'!$1:$1048576,MATCH(G$1,'SAS Data'!$3:$3,0),FALSE)</f>
        <v>34852</v>
      </c>
      <c r="H55" s="28">
        <f>+CNA_Sample[[#This Row],[Cna Cph]]*CNA_Sample[[#This Row],[Cna Hrsn]]</f>
        <v>791141.00000000012</v>
      </c>
      <c r="I55" s="26">
        <v>21</v>
      </c>
      <c r="J55" s="29">
        <v>18.670000000000002</v>
      </c>
      <c r="K55" s="29">
        <v>24</v>
      </c>
      <c r="L55" s="29">
        <v>21</v>
      </c>
      <c r="M55" s="29">
        <v>21.162857142857142</v>
      </c>
      <c r="N55" s="26">
        <f>COUNTIFS('CNA Detail'!$A:$A,$A55,'CNA Detail'!$C:$C,"&lt;"&amp;L55)</f>
        <v>10</v>
      </c>
      <c r="O55" s="26">
        <f>COUNTIFS('CNA Detail'!$A:$A,$A55,'CNA Detail'!$C:$C,"&lt;"&amp;M55)</f>
        <v>11</v>
      </c>
      <c r="P55" s="26">
        <f>COUNTIFS('CNA Detail'!$A:$A,$A55,'CNA Detail'!$C:$C,"&lt;"&amp;$AD$1)</f>
        <v>21</v>
      </c>
      <c r="Q55" s="26">
        <f>COUNTIFS('CNA Detail'!$A:$A,$A55,'CNA Detail'!$C:$C,"&lt;"&amp;$AD$2)</f>
        <v>9</v>
      </c>
      <c r="R55" s="26">
        <f>COUNTIFS('CNA Detail'!$A:$A,$A55,'CNA Detail'!$C:$C,"&lt;"&amp;$AD$3)</f>
        <v>10</v>
      </c>
      <c r="S55" s="28">
        <f>+CNA_Sample[[#This Row],[CNA median]]*CNA_Sample[[#This Row],[Cna Hrsn]]</f>
        <v>731892</v>
      </c>
      <c r="T55" s="28">
        <f>+CNA_Sample[[#This Row],[CNA average]]*CNA_Sample[[#This Row],[Cna Hrsn]]</f>
        <v>737567.89714285708</v>
      </c>
      <c r="U55" s="30">
        <f>CNA_Sample[[#This Row],[Est median wage cost ]]/CNA_Sample[[#This Row],[Cost]]</f>
        <v>0.92510943055662631</v>
      </c>
      <c r="V55" s="30">
        <f>CNA_Sample[[#This Row],[Est average wage cost]]/CNA_Sample[[#This Row],[Cost]]</f>
        <v>0.93228374858951435</v>
      </c>
      <c r="W55" s="30">
        <f>+CNA_Sample[[#This Row],[CNA min.]]/CNA_Sample[[#This Row],[CNA median]]</f>
        <v>0.88904761904761909</v>
      </c>
      <c r="X55" s="30">
        <f>+CNA_Sample[[#This Row],[CNA max]]/CNA_Sample[[#This Row],[CNA median]]</f>
        <v>1.1428571428571428</v>
      </c>
      <c r="Y55" s="26">
        <f>VLOOKUP(A55,Summary!$1:$1048576,2,FALSE)</f>
        <v>3</v>
      </c>
    </row>
    <row r="56" spans="1:25" x14ac:dyDescent="0.55000000000000004">
      <c r="A56" s="26">
        <v>590</v>
      </c>
      <c r="B56" s="26" t="s">
        <v>54</v>
      </c>
      <c r="C56" s="26">
        <f>VLOOKUP($A56,'SAS Data'!$1:$1048576,MATCH(C$1,'SAS Data'!$3:$3,0),FALSE)</f>
        <v>10</v>
      </c>
      <c r="D56" s="26">
        <f>VLOOKUP($A56,'SAS Data'!$1:$1048576,MATCH(D$1,'SAS Data'!$3:$3,0),FALSE)</f>
        <v>11</v>
      </c>
      <c r="E56" s="26">
        <f t="shared" si="1"/>
        <v>21</v>
      </c>
      <c r="F56" s="27">
        <f>VLOOKUP($A56,'SAS Data'!$1:$1048576,MATCH(F$1,'SAS Data'!$3:$3,0),FALSE)</f>
        <v>29.806867579908676</v>
      </c>
      <c r="G56" s="28">
        <f>VLOOKUP($A56,'SAS Data'!$1:$1048576,MATCH(G$1,'SAS Data'!$3:$3,0),FALSE)</f>
        <v>27375</v>
      </c>
      <c r="H56" s="28">
        <f>+CNA_Sample[[#This Row],[Cna Cph]]*CNA_Sample[[#This Row],[Cna Hrsn]]</f>
        <v>815963</v>
      </c>
      <c r="I56" s="26">
        <v>33</v>
      </c>
      <c r="J56" s="29">
        <v>16.25</v>
      </c>
      <c r="K56" s="29">
        <v>25.5</v>
      </c>
      <c r="L56" s="29">
        <v>20</v>
      </c>
      <c r="M56" s="29">
        <v>20.935454545454547</v>
      </c>
      <c r="N56" s="26">
        <f>COUNTIFS('CNA Detail'!$A:$A,$A56,'CNA Detail'!$C:$C,"&lt;"&amp;L56)</f>
        <v>16</v>
      </c>
      <c r="O56" s="26">
        <f>COUNTIFS('CNA Detail'!$A:$A,$A56,'CNA Detail'!$C:$C,"&lt;"&amp;M56)</f>
        <v>21</v>
      </c>
      <c r="P56" s="26">
        <f>COUNTIFS('CNA Detail'!$A:$A,$A56,'CNA Detail'!$C:$C,"&lt;"&amp;$AD$1)</f>
        <v>26</v>
      </c>
      <c r="Q56" s="26">
        <f>COUNTIFS('CNA Detail'!$A:$A,$A56,'CNA Detail'!$C:$C,"&lt;"&amp;$AD$2)</f>
        <v>21</v>
      </c>
      <c r="R56" s="26">
        <f>COUNTIFS('CNA Detail'!$A:$A,$A56,'CNA Detail'!$C:$C,"&lt;"&amp;$AD$3)</f>
        <v>21</v>
      </c>
      <c r="S56" s="28">
        <f>+CNA_Sample[[#This Row],[CNA median]]*CNA_Sample[[#This Row],[Cna Hrsn]]</f>
        <v>547500</v>
      </c>
      <c r="T56" s="28">
        <f>+CNA_Sample[[#This Row],[CNA average]]*CNA_Sample[[#This Row],[Cna Hrsn]]</f>
        <v>573108.06818181823</v>
      </c>
      <c r="U56" s="30">
        <f>CNA_Sample[[#This Row],[Est median wage cost ]]/CNA_Sample[[#This Row],[Cost]]</f>
        <v>0.67098630697715456</v>
      </c>
      <c r="V56" s="30">
        <f>CNA_Sample[[#This Row],[Est average wage cost]]/CNA_Sample[[#This Row],[Cost]]</f>
        <v>0.70237016651713158</v>
      </c>
      <c r="W56" s="30">
        <f>+CNA_Sample[[#This Row],[CNA min.]]/CNA_Sample[[#This Row],[CNA median]]</f>
        <v>0.8125</v>
      </c>
      <c r="X56" s="30">
        <f>+CNA_Sample[[#This Row],[CNA max]]/CNA_Sample[[#This Row],[CNA median]]</f>
        <v>1.2749999999999999</v>
      </c>
      <c r="Y56" s="26">
        <f>VLOOKUP(A56,Summary!$1:$1048576,2,FALSE)</f>
        <v>1</v>
      </c>
    </row>
    <row r="57" spans="1:25" x14ac:dyDescent="0.55000000000000004">
      <c r="A57" s="26">
        <v>597</v>
      </c>
      <c r="B57" s="26" t="s">
        <v>54</v>
      </c>
      <c r="C57" s="26">
        <f>VLOOKUP($A57,'SAS Data'!$1:$1048576,MATCH(C$1,'SAS Data'!$3:$3,0),FALSE)</f>
        <v>10</v>
      </c>
      <c r="D57" s="26">
        <f>VLOOKUP($A57,'SAS Data'!$1:$1048576,MATCH(D$1,'SAS Data'!$3:$3,0),FALSE)</f>
        <v>6</v>
      </c>
      <c r="E57" s="26">
        <f t="shared" si="1"/>
        <v>16</v>
      </c>
      <c r="F57" s="27">
        <f>VLOOKUP($A57,'SAS Data'!$1:$1048576,MATCH(F$1,'SAS Data'!$3:$3,0),FALSE)</f>
        <v>23.113290727261969</v>
      </c>
      <c r="G57" s="28">
        <f>VLOOKUP($A57,'SAS Data'!$1:$1048576,MATCH(G$1,'SAS Data'!$3:$3,0),FALSE)</f>
        <v>33798</v>
      </c>
      <c r="H57" s="28">
        <f>+CNA_Sample[[#This Row],[Cna Cph]]*CNA_Sample[[#This Row],[Cna Hrsn]]</f>
        <v>781183</v>
      </c>
      <c r="I57" s="26">
        <v>7</v>
      </c>
      <c r="J57" s="29">
        <v>19.5</v>
      </c>
      <c r="K57" s="29">
        <v>21.5</v>
      </c>
      <c r="L57" s="29">
        <v>20.3</v>
      </c>
      <c r="M57" s="29">
        <v>20.328571428571429</v>
      </c>
      <c r="N57" s="26">
        <f>COUNTIFS('CNA Detail'!$A:$A,$A57,'CNA Detail'!$C:$C,"&lt;"&amp;L57)</f>
        <v>3</v>
      </c>
      <c r="O57" s="26">
        <f>COUNTIFS('CNA Detail'!$A:$A,$A57,'CNA Detail'!$C:$C,"&lt;"&amp;M57)</f>
        <v>4</v>
      </c>
      <c r="P57" s="26">
        <f>COUNTIFS('CNA Detail'!$A:$A,$A57,'CNA Detail'!$C:$C,"&lt;"&amp;$AD$1)</f>
        <v>7</v>
      </c>
      <c r="Q57" s="26">
        <f>COUNTIFS('CNA Detail'!$A:$A,$A57,'CNA Detail'!$C:$C,"&lt;"&amp;$AD$2)</f>
        <v>5</v>
      </c>
      <c r="R57" s="26">
        <f>COUNTIFS('CNA Detail'!$A:$A,$A57,'CNA Detail'!$C:$C,"&lt;"&amp;$AD$3)</f>
        <v>6</v>
      </c>
      <c r="S57" s="28">
        <f>+CNA_Sample[[#This Row],[CNA median]]*CNA_Sample[[#This Row],[Cna Hrsn]]</f>
        <v>686099.4</v>
      </c>
      <c r="T57" s="28">
        <f>+CNA_Sample[[#This Row],[CNA average]]*CNA_Sample[[#This Row],[Cna Hrsn]]</f>
        <v>687065.05714285711</v>
      </c>
      <c r="U57" s="30">
        <f>CNA_Sample[[#This Row],[Est median wage cost ]]/CNA_Sample[[#This Row],[Cost]]</f>
        <v>0.87828255351178919</v>
      </c>
      <c r="V57" s="30">
        <f>CNA_Sample[[#This Row],[Est average wage cost]]/CNA_Sample[[#This Row],[Cost]]</f>
        <v>0.8795187006666263</v>
      </c>
      <c r="W57" s="30">
        <f>+CNA_Sample[[#This Row],[CNA min.]]/CNA_Sample[[#This Row],[CNA median]]</f>
        <v>0.96059113300492605</v>
      </c>
      <c r="X57" s="30">
        <f>+CNA_Sample[[#This Row],[CNA max]]/CNA_Sample[[#This Row],[CNA median]]</f>
        <v>1.0591133004926108</v>
      </c>
      <c r="Y57" s="26">
        <f>VLOOKUP(A57,Summary!$1:$1048576,2,FALSE)</f>
        <v>1</v>
      </c>
    </row>
    <row r="58" spans="1:25" x14ac:dyDescent="0.55000000000000004">
      <c r="A58" s="26">
        <v>604</v>
      </c>
      <c r="B58" s="26" t="s">
        <v>54</v>
      </c>
      <c r="C58" s="26">
        <f>VLOOKUP($A58,'SAS Data'!$1:$1048576,MATCH(C$1,'SAS Data'!$3:$3,0),FALSE)</f>
        <v>12</v>
      </c>
      <c r="D58" s="26">
        <f>VLOOKUP($A58,'SAS Data'!$1:$1048576,MATCH(D$1,'SAS Data'!$3:$3,0),FALSE)</f>
        <v>27</v>
      </c>
      <c r="E58" s="26">
        <f t="shared" si="1"/>
        <v>39</v>
      </c>
      <c r="F58" s="27">
        <f>VLOOKUP($A58,'SAS Data'!$1:$1048576,MATCH(F$1,'SAS Data'!$3:$3,0),FALSE)</f>
        <v>21.728775372694351</v>
      </c>
      <c r="G58" s="28">
        <f>VLOOKUP($A58,'SAS Data'!$1:$1048576,MATCH(G$1,'SAS Data'!$3:$3,0),FALSE)</f>
        <v>47492</v>
      </c>
      <c r="H58" s="28">
        <f>+CNA_Sample[[#This Row],[Cna Cph]]*CNA_Sample[[#This Row],[Cna Hrsn]]</f>
        <v>1031943.0000000001</v>
      </c>
      <c r="I58" s="26">
        <v>25</v>
      </c>
      <c r="J58" s="29">
        <v>18.5</v>
      </c>
      <c r="K58" s="29">
        <v>26.11</v>
      </c>
      <c r="L58" s="29">
        <v>21.13</v>
      </c>
      <c r="M58" s="29">
        <v>21.876000000000005</v>
      </c>
      <c r="N58" s="26">
        <f>COUNTIFS('CNA Detail'!$A:$A,$A58,'CNA Detail'!$C:$C,"&lt;"&amp;L58)</f>
        <v>12</v>
      </c>
      <c r="O58" s="26">
        <f>COUNTIFS('CNA Detail'!$A:$A,$A58,'CNA Detail'!$C:$C,"&lt;"&amp;M58)</f>
        <v>14</v>
      </c>
      <c r="P58" s="26">
        <f>COUNTIFS('CNA Detail'!$A:$A,$A58,'CNA Detail'!$C:$C,"&lt;"&amp;$AD$1)</f>
        <v>19</v>
      </c>
      <c r="Q58" s="26">
        <f>COUNTIFS('CNA Detail'!$A:$A,$A58,'CNA Detail'!$C:$C,"&lt;"&amp;$AD$2)</f>
        <v>11</v>
      </c>
      <c r="R58" s="26">
        <f>COUNTIFS('CNA Detail'!$A:$A,$A58,'CNA Detail'!$C:$C,"&lt;"&amp;$AD$3)</f>
        <v>12</v>
      </c>
      <c r="S58" s="28">
        <f>+CNA_Sample[[#This Row],[CNA median]]*CNA_Sample[[#This Row],[Cna Hrsn]]</f>
        <v>1003505.96</v>
      </c>
      <c r="T58" s="28">
        <f>+CNA_Sample[[#This Row],[CNA average]]*CNA_Sample[[#This Row],[Cna Hrsn]]</f>
        <v>1038934.9920000002</v>
      </c>
      <c r="U58" s="30">
        <f>CNA_Sample[[#This Row],[Est median wage cost ]]/CNA_Sample[[#This Row],[Cost]]</f>
        <v>0.97244320664997952</v>
      </c>
      <c r="V58" s="30">
        <f>CNA_Sample[[#This Row],[Est average wage cost]]/CNA_Sample[[#This Row],[Cost]]</f>
        <v>1.0067755602780386</v>
      </c>
      <c r="W58" s="30">
        <f>+CNA_Sample[[#This Row],[CNA min.]]/CNA_Sample[[#This Row],[CNA median]]</f>
        <v>0.87553241836251783</v>
      </c>
      <c r="X58" s="30">
        <f>+CNA_Sample[[#This Row],[CNA max]]/CNA_Sample[[#This Row],[CNA median]]</f>
        <v>1.2356838618078561</v>
      </c>
      <c r="Y58" s="26">
        <f>VLOOKUP(A58,Summary!$1:$1048576,2,FALSE)</f>
        <v>3</v>
      </c>
    </row>
    <row r="59" spans="1:25" x14ac:dyDescent="0.55000000000000004">
      <c r="A59" s="26">
        <v>606</v>
      </c>
      <c r="B59" s="26" t="s">
        <v>54</v>
      </c>
      <c r="C59" s="26">
        <f>VLOOKUP($A59,'SAS Data'!$1:$1048576,MATCH(C$1,'SAS Data'!$3:$3,0),FALSE)</f>
        <v>10</v>
      </c>
      <c r="D59" s="26">
        <f>VLOOKUP($A59,'SAS Data'!$1:$1048576,MATCH(D$1,'SAS Data'!$3:$3,0),FALSE)</f>
        <v>13</v>
      </c>
      <c r="E59" s="26">
        <f t="shared" si="1"/>
        <v>23</v>
      </c>
      <c r="F59" s="27">
        <f>VLOOKUP($A59,'SAS Data'!$1:$1048576,MATCH(F$1,'SAS Data'!$3:$3,0),FALSE)</f>
        <v>21.435725276262414</v>
      </c>
      <c r="G59" s="28">
        <f>VLOOKUP($A59,'SAS Data'!$1:$1048576,MATCH(G$1,'SAS Data'!$3:$3,0),FALSE)</f>
        <v>28596</v>
      </c>
      <c r="H59" s="28">
        <f>+CNA_Sample[[#This Row],[Cna Cph]]*CNA_Sample[[#This Row],[Cna Hrsn]]</f>
        <v>612976</v>
      </c>
      <c r="I59" s="26">
        <v>12</v>
      </c>
      <c r="J59" s="29">
        <v>16.27</v>
      </c>
      <c r="K59" s="29">
        <v>20.85</v>
      </c>
      <c r="L59" s="29">
        <v>18.29</v>
      </c>
      <c r="M59" s="29">
        <v>18.083333333333339</v>
      </c>
      <c r="N59" s="26">
        <f>COUNTIFS('CNA Detail'!$A:$A,$A59,'CNA Detail'!$C:$C,"&lt;"&amp;L59)</f>
        <v>6</v>
      </c>
      <c r="O59" s="26">
        <f>COUNTIFS('CNA Detail'!$A:$A,$A59,'CNA Detail'!$C:$C,"&lt;"&amp;M59)</f>
        <v>6</v>
      </c>
      <c r="P59" s="26">
        <f>COUNTIFS('CNA Detail'!$A:$A,$A59,'CNA Detail'!$C:$C,"&lt;"&amp;$AD$1)</f>
        <v>12</v>
      </c>
      <c r="Q59" s="26">
        <f>COUNTIFS('CNA Detail'!$A:$A,$A59,'CNA Detail'!$C:$C,"&lt;"&amp;$AD$2)</f>
        <v>11</v>
      </c>
      <c r="R59" s="26">
        <f>COUNTIFS('CNA Detail'!$A:$A,$A59,'CNA Detail'!$C:$C,"&lt;"&amp;$AD$3)</f>
        <v>11</v>
      </c>
      <c r="S59" s="28">
        <f>+CNA_Sample[[#This Row],[CNA median]]*CNA_Sample[[#This Row],[Cna Hrsn]]</f>
        <v>523020.83999999997</v>
      </c>
      <c r="T59" s="28">
        <f>+CNA_Sample[[#This Row],[CNA average]]*CNA_Sample[[#This Row],[Cna Hrsn]]</f>
        <v>517111.00000000017</v>
      </c>
      <c r="U59" s="30">
        <f>CNA_Sample[[#This Row],[Est median wage cost ]]/CNA_Sample[[#This Row],[Cost]]</f>
        <v>0.85324847954895455</v>
      </c>
      <c r="V59" s="30">
        <f>CNA_Sample[[#This Row],[Est average wage cost]]/CNA_Sample[[#This Row],[Cost]]</f>
        <v>0.84360725379133961</v>
      </c>
      <c r="W59" s="30">
        <f>+CNA_Sample[[#This Row],[CNA min.]]/CNA_Sample[[#This Row],[CNA median]]</f>
        <v>0.88955713504647349</v>
      </c>
      <c r="X59" s="30">
        <f>+CNA_Sample[[#This Row],[CNA max]]/CNA_Sample[[#This Row],[CNA median]]</f>
        <v>1.1399671951886279</v>
      </c>
      <c r="Y59" s="26">
        <f>VLOOKUP(A59,Summary!$1:$1048576,2,FALSE)</f>
        <v>2</v>
      </c>
    </row>
    <row r="60" spans="1:25" x14ac:dyDescent="0.55000000000000004">
      <c r="A60" s="26">
        <v>636</v>
      </c>
      <c r="B60" s="26" t="s">
        <v>54</v>
      </c>
      <c r="C60" s="26">
        <f>VLOOKUP($A60,'SAS Data'!$1:$1048576,MATCH(C$1,'SAS Data'!$3:$3,0),FALSE)</f>
        <v>8</v>
      </c>
      <c r="D60" s="26">
        <f>VLOOKUP($A60,'SAS Data'!$1:$1048576,MATCH(D$1,'SAS Data'!$3:$3,0),FALSE)</f>
        <v>2</v>
      </c>
      <c r="E60" s="26">
        <f t="shared" si="1"/>
        <v>10</v>
      </c>
      <c r="F60" s="27">
        <f>VLOOKUP($A60,'SAS Data'!$1:$1048576,MATCH(F$1,'SAS Data'!$3:$3,0),FALSE)</f>
        <v>26.015671996200727</v>
      </c>
      <c r="G60" s="28">
        <f>VLOOKUP($A60,'SAS Data'!$1:$1048576,MATCH(G$1,'SAS Data'!$3:$3,0),FALSE)</f>
        <v>12634</v>
      </c>
      <c r="H60" s="28">
        <f>+CNA_Sample[[#This Row],[Cna Cph]]*CNA_Sample[[#This Row],[Cna Hrsn]]</f>
        <v>328682</v>
      </c>
      <c r="I60" s="26">
        <v>27</v>
      </c>
      <c r="J60" s="29">
        <v>22.19</v>
      </c>
      <c r="K60" s="29">
        <v>26.54</v>
      </c>
      <c r="L60" s="29">
        <v>23.17</v>
      </c>
      <c r="M60" s="29">
        <v>23.664444444444445</v>
      </c>
      <c r="N60" s="26">
        <f>COUNTIFS('CNA Detail'!$A:$A,$A60,'CNA Detail'!$C:$C,"&lt;"&amp;L60)</f>
        <v>13</v>
      </c>
      <c r="O60" s="26">
        <f>COUNTIFS('CNA Detail'!$A:$A,$A60,'CNA Detail'!$C:$C,"&lt;"&amp;M60)</f>
        <v>15</v>
      </c>
      <c r="P60" s="26">
        <f>COUNTIFS('CNA Detail'!$A:$A,$A60,'CNA Detail'!$C:$C,"&lt;"&amp;$AD$1)</f>
        <v>20</v>
      </c>
      <c r="Q60" s="26">
        <f>COUNTIFS('CNA Detail'!$A:$A,$A60,'CNA Detail'!$C:$C,"&lt;"&amp;$AD$2)</f>
        <v>0</v>
      </c>
      <c r="R60" s="26">
        <f>COUNTIFS('CNA Detail'!$A:$A,$A60,'CNA Detail'!$C:$C,"&lt;"&amp;$AD$3)</f>
        <v>0</v>
      </c>
      <c r="S60" s="28">
        <f>+CNA_Sample[[#This Row],[CNA median]]*CNA_Sample[[#This Row],[Cna Hrsn]]</f>
        <v>292729.78000000003</v>
      </c>
      <c r="T60" s="28">
        <f>+CNA_Sample[[#This Row],[CNA average]]*CNA_Sample[[#This Row],[Cna Hrsn]]</f>
        <v>298976.59111111111</v>
      </c>
      <c r="U60" s="30">
        <f>CNA_Sample[[#This Row],[Est median wage cost ]]/CNA_Sample[[#This Row],[Cost]]</f>
        <v>0.89061700975410896</v>
      </c>
      <c r="V60" s="30">
        <f>CNA_Sample[[#This Row],[Est average wage cost]]/CNA_Sample[[#This Row],[Cost]]</f>
        <v>0.90962264776017887</v>
      </c>
      <c r="W60" s="30">
        <f>+CNA_Sample[[#This Row],[CNA min.]]/CNA_Sample[[#This Row],[CNA median]]</f>
        <v>0.95770392749244715</v>
      </c>
      <c r="X60" s="30">
        <f>+CNA_Sample[[#This Row],[CNA max]]/CNA_Sample[[#This Row],[CNA median]]</f>
        <v>1.1454466983167888</v>
      </c>
      <c r="Y60" s="26">
        <f>VLOOKUP(A60,Summary!$1:$1048576,2,FALSE)</f>
        <v>2</v>
      </c>
    </row>
    <row r="61" spans="1:25" x14ac:dyDescent="0.55000000000000004">
      <c r="A61" s="26">
        <v>642</v>
      </c>
      <c r="B61" s="26" t="s">
        <v>54</v>
      </c>
      <c r="C61" s="26">
        <f>VLOOKUP($A61,'SAS Data'!$1:$1048576,MATCH(C$1,'SAS Data'!$3:$3,0),FALSE)</f>
        <v>26</v>
      </c>
      <c r="D61" s="26">
        <f>VLOOKUP($A61,'SAS Data'!$1:$1048576,MATCH(D$1,'SAS Data'!$3:$3,0),FALSE)</f>
        <v>20</v>
      </c>
      <c r="E61" s="26">
        <f t="shared" si="1"/>
        <v>46</v>
      </c>
      <c r="F61" s="27">
        <f>VLOOKUP($A61,'SAS Data'!$1:$1048576,MATCH(F$1,'SAS Data'!$3:$3,0),FALSE)</f>
        <v>24.387427619876625</v>
      </c>
      <c r="G61" s="28">
        <f>VLOOKUP($A61,'SAS Data'!$1:$1048576,MATCH(G$1,'SAS Data'!$3:$3,0),FALSE)</f>
        <v>79269</v>
      </c>
      <c r="H61" s="28">
        <f>+CNA_Sample[[#This Row],[Cna Cph]]*CNA_Sample[[#This Row],[Cna Hrsn]]</f>
        <v>1933167.0000000002</v>
      </c>
      <c r="I61" s="26">
        <v>50</v>
      </c>
      <c r="J61" s="29">
        <v>16.079999999999998</v>
      </c>
      <c r="K61" s="29">
        <v>30</v>
      </c>
      <c r="L61" s="29">
        <v>18.100000000000001</v>
      </c>
      <c r="M61" s="29">
        <v>19.28240000000001</v>
      </c>
      <c r="N61" s="26">
        <f>COUNTIFS('CNA Detail'!$A:$A,$A61,'CNA Detail'!$C:$C,"&lt;"&amp;L61)</f>
        <v>23</v>
      </c>
      <c r="O61" s="26">
        <f>COUNTIFS('CNA Detail'!$A:$A,$A61,'CNA Detail'!$C:$C,"&lt;"&amp;M61)</f>
        <v>32</v>
      </c>
      <c r="P61" s="26">
        <f>COUNTIFS('CNA Detail'!$A:$A,$A61,'CNA Detail'!$C:$C,"&lt;"&amp;$AD$1)</f>
        <v>48</v>
      </c>
      <c r="Q61" s="26">
        <f>COUNTIFS('CNA Detail'!$A:$A,$A61,'CNA Detail'!$C:$C,"&lt;"&amp;$AD$2)</f>
        <v>34</v>
      </c>
      <c r="R61" s="26">
        <f>COUNTIFS('CNA Detail'!$A:$A,$A61,'CNA Detail'!$C:$C,"&lt;"&amp;$AD$3)</f>
        <v>35</v>
      </c>
      <c r="S61" s="28">
        <f>+CNA_Sample[[#This Row],[CNA median]]*CNA_Sample[[#This Row],[Cna Hrsn]]</f>
        <v>1434768.9000000001</v>
      </c>
      <c r="T61" s="28">
        <f>+CNA_Sample[[#This Row],[CNA average]]*CNA_Sample[[#This Row],[Cna Hrsn]]</f>
        <v>1528496.5656000008</v>
      </c>
      <c r="U61" s="30">
        <f>CNA_Sample[[#This Row],[Est median wage cost ]]/CNA_Sample[[#This Row],[Cost]]</f>
        <v>0.74218569839025805</v>
      </c>
      <c r="V61" s="30">
        <f>CNA_Sample[[#This Row],[Est average wage cost]]/CNA_Sample[[#This Row],[Cost]]</f>
        <v>0.7906696967204595</v>
      </c>
      <c r="W61" s="30">
        <f>+CNA_Sample[[#This Row],[CNA min.]]/CNA_Sample[[#This Row],[CNA median]]</f>
        <v>0.88839779005524844</v>
      </c>
      <c r="X61" s="30">
        <f>+CNA_Sample[[#This Row],[CNA max]]/CNA_Sample[[#This Row],[CNA median]]</f>
        <v>1.6574585635359114</v>
      </c>
      <c r="Y61" s="26">
        <f>VLOOKUP(A61,Summary!$1:$1048576,2,FALSE)</f>
        <v>1</v>
      </c>
    </row>
    <row r="62" spans="1:25" x14ac:dyDescent="0.55000000000000004">
      <c r="A62" s="26">
        <v>646</v>
      </c>
      <c r="B62" s="26" t="s">
        <v>54</v>
      </c>
      <c r="C62" s="26">
        <f>VLOOKUP($A62,'SAS Data'!$1:$1048576,MATCH(C$1,'SAS Data'!$3:$3,0),FALSE)</f>
        <v>33</v>
      </c>
      <c r="D62" s="26">
        <f>VLOOKUP($A62,'SAS Data'!$1:$1048576,MATCH(D$1,'SAS Data'!$3:$3,0),FALSE)</f>
        <v>12</v>
      </c>
      <c r="E62" s="26">
        <f t="shared" si="1"/>
        <v>45</v>
      </c>
      <c r="F62" s="27">
        <f>VLOOKUP($A62,'SAS Data'!$1:$1048576,MATCH(F$1,'SAS Data'!$3:$3,0),FALSE)</f>
        <v>22.518763073096274</v>
      </c>
      <c r="G62" s="28">
        <f>VLOOKUP($A62,'SAS Data'!$1:$1048576,MATCH(G$1,'SAS Data'!$3:$3,0),FALSE)</f>
        <v>88445</v>
      </c>
      <c r="H62" s="28">
        <f>+CNA_Sample[[#This Row],[Cna Cph]]*CNA_Sample[[#This Row],[Cna Hrsn]]</f>
        <v>1991672</v>
      </c>
      <c r="I62" s="26">
        <v>65</v>
      </c>
      <c r="J62" s="29">
        <v>17.850000000000001</v>
      </c>
      <c r="K62" s="29">
        <v>22.64</v>
      </c>
      <c r="L62" s="29">
        <v>18.57</v>
      </c>
      <c r="M62" s="29">
        <v>19.315076923076923</v>
      </c>
      <c r="N62" s="26">
        <f>COUNTIFS('CNA Detail'!$A:$A,$A62,'CNA Detail'!$C:$C,"&lt;"&amp;L62)</f>
        <v>32</v>
      </c>
      <c r="O62" s="26">
        <f>COUNTIFS('CNA Detail'!$A:$A,$A62,'CNA Detail'!$C:$C,"&lt;"&amp;M62)</f>
        <v>36</v>
      </c>
      <c r="P62" s="26">
        <f>COUNTIFS('CNA Detail'!$A:$A,$A62,'CNA Detail'!$C:$C,"&lt;"&amp;$AD$1)</f>
        <v>65</v>
      </c>
      <c r="Q62" s="26">
        <f>COUNTIFS('CNA Detail'!$A:$A,$A62,'CNA Detail'!$C:$C,"&lt;"&amp;$AD$2)</f>
        <v>48</v>
      </c>
      <c r="R62" s="26">
        <f>COUNTIFS('CNA Detail'!$A:$A,$A62,'CNA Detail'!$C:$C,"&lt;"&amp;$AD$3)</f>
        <v>48</v>
      </c>
      <c r="S62" s="28">
        <f>+CNA_Sample[[#This Row],[CNA median]]*CNA_Sample[[#This Row],[Cna Hrsn]]</f>
        <v>1642423.6500000001</v>
      </c>
      <c r="T62" s="28">
        <f>+CNA_Sample[[#This Row],[CNA average]]*CNA_Sample[[#This Row],[Cna Hrsn]]</f>
        <v>1708321.9784615384</v>
      </c>
      <c r="U62" s="30">
        <f>CNA_Sample[[#This Row],[Est median wage cost ]]/CNA_Sample[[#This Row],[Cost]]</f>
        <v>0.82464564948445329</v>
      </c>
      <c r="V62" s="30">
        <f>CNA_Sample[[#This Row],[Est average wage cost]]/CNA_Sample[[#This Row],[Cost]]</f>
        <v>0.85773258772606054</v>
      </c>
      <c r="W62" s="30">
        <f>+CNA_Sample[[#This Row],[CNA min.]]/CNA_Sample[[#This Row],[CNA median]]</f>
        <v>0.96122778675282716</v>
      </c>
      <c r="X62" s="30">
        <f>+CNA_Sample[[#This Row],[CNA max]]/CNA_Sample[[#This Row],[CNA median]]</f>
        <v>1.2191707054388798</v>
      </c>
      <c r="Y62" s="26">
        <f>VLOOKUP(A62,Summary!$1:$1048576,2,FALSE)</f>
        <v>3</v>
      </c>
    </row>
    <row r="63" spans="1:25" x14ac:dyDescent="0.55000000000000004">
      <c r="A63" s="26">
        <v>657</v>
      </c>
      <c r="B63" s="26" t="s">
        <v>54</v>
      </c>
      <c r="C63" s="26">
        <f>VLOOKUP($A63,'SAS Data'!$1:$1048576,MATCH(C$1,'SAS Data'!$3:$3,0),FALSE)</f>
        <v>13</v>
      </c>
      <c r="D63" s="26">
        <f>VLOOKUP($A63,'SAS Data'!$1:$1048576,MATCH(D$1,'SAS Data'!$3:$3,0),FALSE)</f>
        <v>46</v>
      </c>
      <c r="E63" s="26">
        <f t="shared" si="1"/>
        <v>59</v>
      </c>
      <c r="F63" s="27">
        <f>VLOOKUP($A63,'SAS Data'!$1:$1048576,MATCH(F$1,'SAS Data'!$3:$3,0),FALSE)</f>
        <v>23.814981532779317</v>
      </c>
      <c r="G63" s="28">
        <f>VLOOKUP($A63,'SAS Data'!$1:$1048576,MATCH(G$1,'SAS Data'!$3:$3,0),FALSE)</f>
        <v>43320</v>
      </c>
      <c r="H63" s="28">
        <f>+CNA_Sample[[#This Row],[Cna Cph]]*CNA_Sample[[#This Row],[Cna Hrsn]]</f>
        <v>1031665</v>
      </c>
      <c r="I63" s="26">
        <v>27</v>
      </c>
      <c r="J63" s="29">
        <v>17</v>
      </c>
      <c r="K63" s="29">
        <v>22.38</v>
      </c>
      <c r="L63" s="29">
        <v>17.53</v>
      </c>
      <c r="M63" s="29">
        <v>18.608148148148139</v>
      </c>
      <c r="N63" s="26">
        <f>COUNTIFS('CNA Detail'!$A:$A,$A63,'CNA Detail'!$C:$C,"&lt;"&amp;L63)</f>
        <v>1</v>
      </c>
      <c r="O63" s="26">
        <f>COUNTIFS('CNA Detail'!$A:$A,$A63,'CNA Detail'!$C:$C,"&lt;"&amp;M63)</f>
        <v>18</v>
      </c>
      <c r="P63" s="26">
        <f>COUNTIFS('CNA Detail'!$A:$A,$A63,'CNA Detail'!$C:$C,"&lt;"&amp;$AD$1)</f>
        <v>27</v>
      </c>
      <c r="Q63" s="26">
        <f>COUNTIFS('CNA Detail'!$A:$A,$A63,'CNA Detail'!$C:$C,"&lt;"&amp;$AD$2)</f>
        <v>22</v>
      </c>
      <c r="R63" s="26">
        <f>COUNTIFS('CNA Detail'!$A:$A,$A63,'CNA Detail'!$C:$C,"&lt;"&amp;$AD$3)</f>
        <v>22</v>
      </c>
      <c r="S63" s="28">
        <f>+CNA_Sample[[#This Row],[CNA median]]*CNA_Sample[[#This Row],[Cna Hrsn]]</f>
        <v>759399.60000000009</v>
      </c>
      <c r="T63" s="28">
        <f>+CNA_Sample[[#This Row],[CNA average]]*CNA_Sample[[#This Row],[Cna Hrsn]]</f>
        <v>806104.97777777736</v>
      </c>
      <c r="U63" s="30">
        <f>CNA_Sample[[#This Row],[Est median wage cost ]]/CNA_Sample[[#This Row],[Cost]]</f>
        <v>0.73609126993743135</v>
      </c>
      <c r="V63" s="30">
        <f>CNA_Sample[[#This Row],[Est average wage cost]]/CNA_Sample[[#This Row],[Cost]]</f>
        <v>0.78136311474924258</v>
      </c>
      <c r="W63" s="30">
        <f>+CNA_Sample[[#This Row],[CNA min.]]/CNA_Sample[[#This Row],[CNA median]]</f>
        <v>0.9697661152310324</v>
      </c>
      <c r="X63" s="30">
        <f>+CNA_Sample[[#This Row],[CNA max]]/CNA_Sample[[#This Row],[CNA median]]</f>
        <v>1.2766685681688532</v>
      </c>
      <c r="Y63" s="26">
        <f>VLOOKUP(A63,Summary!$1:$1048576,2,FALSE)</f>
        <v>1</v>
      </c>
    </row>
    <row r="64" spans="1:25" x14ac:dyDescent="0.55000000000000004">
      <c r="A64" s="26">
        <v>658</v>
      </c>
      <c r="B64" s="26" t="s">
        <v>54</v>
      </c>
      <c r="C64" s="26">
        <f>VLOOKUP($A64,'SAS Data'!$1:$1048576,MATCH(C$1,'SAS Data'!$3:$3,0),FALSE)</f>
        <v>6</v>
      </c>
      <c r="D64" s="26">
        <f>VLOOKUP($A64,'SAS Data'!$1:$1048576,MATCH(D$1,'SAS Data'!$3:$3,0),FALSE)</f>
        <v>19</v>
      </c>
      <c r="E64" s="26">
        <f t="shared" si="1"/>
        <v>25</v>
      </c>
      <c r="F64" s="27">
        <f>VLOOKUP($A64,'SAS Data'!$1:$1048576,MATCH(F$1,'SAS Data'!$3:$3,0),FALSE)</f>
        <v>19.964509259856747</v>
      </c>
      <c r="G64" s="28">
        <f>VLOOKUP($A64,'SAS Data'!$1:$1048576,MATCH(G$1,'SAS Data'!$3:$3,0),FALSE)</f>
        <v>30994</v>
      </c>
      <c r="H64" s="28">
        <f>+CNA_Sample[[#This Row],[Cna Cph]]*CNA_Sample[[#This Row],[Cna Hrsn]]</f>
        <v>618780</v>
      </c>
      <c r="I64" s="26">
        <v>16</v>
      </c>
      <c r="J64" s="29">
        <v>16</v>
      </c>
      <c r="K64" s="29">
        <v>19.989999999999998</v>
      </c>
      <c r="L64" s="29">
        <v>16.740000000000002</v>
      </c>
      <c r="M64" s="29">
        <v>16.943749999999998</v>
      </c>
      <c r="N64" s="26">
        <f>COUNTIFS('CNA Detail'!$A:$A,$A64,'CNA Detail'!$C:$C,"&lt;"&amp;L64)</f>
        <v>8</v>
      </c>
      <c r="O64" s="26">
        <f>COUNTIFS('CNA Detail'!$A:$A,$A64,'CNA Detail'!$C:$C,"&lt;"&amp;M64)</f>
        <v>11</v>
      </c>
      <c r="P64" s="26">
        <f>COUNTIFS('CNA Detail'!$A:$A,$A64,'CNA Detail'!$C:$C,"&lt;"&amp;$AD$1)</f>
        <v>16</v>
      </c>
      <c r="Q64" s="26">
        <f>COUNTIFS('CNA Detail'!$A:$A,$A64,'CNA Detail'!$C:$C,"&lt;"&amp;$AD$2)</f>
        <v>16</v>
      </c>
      <c r="R64" s="26">
        <f>COUNTIFS('CNA Detail'!$A:$A,$A64,'CNA Detail'!$C:$C,"&lt;"&amp;$AD$3)</f>
        <v>16</v>
      </c>
      <c r="S64" s="28">
        <f>+CNA_Sample[[#This Row],[CNA median]]*CNA_Sample[[#This Row],[Cna Hrsn]]</f>
        <v>518839.56000000006</v>
      </c>
      <c r="T64" s="28">
        <f>+CNA_Sample[[#This Row],[CNA average]]*CNA_Sample[[#This Row],[Cna Hrsn]]</f>
        <v>525154.58749999991</v>
      </c>
      <c r="U64" s="30">
        <f>CNA_Sample[[#This Row],[Est median wage cost ]]/CNA_Sample[[#This Row],[Cost]]</f>
        <v>0.83848792785804338</v>
      </c>
      <c r="V64" s="30">
        <f>CNA_Sample[[#This Row],[Est average wage cost]]/CNA_Sample[[#This Row],[Cost]]</f>
        <v>0.84869353809108228</v>
      </c>
      <c r="W64" s="30">
        <f>+CNA_Sample[[#This Row],[CNA min.]]/CNA_Sample[[#This Row],[CNA median]]</f>
        <v>0.95579450418160083</v>
      </c>
      <c r="X64" s="30">
        <f>+CNA_Sample[[#This Row],[CNA max]]/CNA_Sample[[#This Row],[CNA median]]</f>
        <v>1.1941457586618875</v>
      </c>
      <c r="Y64" s="26">
        <f>VLOOKUP(A64,Summary!$1:$1048576,2,FALSE)</f>
        <v>1</v>
      </c>
    </row>
    <row r="65" spans="1:25" x14ac:dyDescent="0.55000000000000004">
      <c r="A65" s="26">
        <v>701</v>
      </c>
      <c r="B65" s="26" t="s">
        <v>54</v>
      </c>
      <c r="C65" s="26">
        <f>VLOOKUP($A65,'SAS Data'!$1:$1048576,MATCH(C$1,'SAS Data'!$3:$3,0),FALSE)</f>
        <v>0</v>
      </c>
      <c r="D65" s="26">
        <f>VLOOKUP($A65,'SAS Data'!$1:$1048576,MATCH(D$1,'SAS Data'!$3:$3,0),FALSE)</f>
        <v>0</v>
      </c>
      <c r="E65" s="26">
        <f t="shared" si="1"/>
        <v>0</v>
      </c>
      <c r="F65" s="27">
        <f>VLOOKUP($A65,'SAS Data'!$1:$1048576,MATCH(F$1,'SAS Data'!$3:$3,0),FALSE)</f>
        <v>0</v>
      </c>
      <c r="G65" s="28">
        <f>VLOOKUP($A65,'SAS Data'!$1:$1048576,MATCH(G$1,'SAS Data'!$3:$3,0),FALSE)</f>
        <v>0</v>
      </c>
      <c r="H65" s="28">
        <f>+CNA_Sample[[#This Row],[Cna Cph]]*CNA_Sample[[#This Row],[Cna Hrsn]]</f>
        <v>0</v>
      </c>
      <c r="I65" s="26">
        <v>12</v>
      </c>
      <c r="J65" s="29">
        <v>19.8</v>
      </c>
      <c r="K65" s="29">
        <v>23.85</v>
      </c>
      <c r="L65" s="29">
        <v>20</v>
      </c>
      <c r="M65" s="29">
        <v>20.379166666666666</v>
      </c>
      <c r="N65" s="26">
        <f>COUNTIFS('CNA Detail'!$A:$A,$A65,'CNA Detail'!$C:$C,"&lt;"&amp;L65)</f>
        <v>1</v>
      </c>
      <c r="O65" s="26">
        <f>COUNTIFS('CNA Detail'!$A:$A,$A65,'CNA Detail'!$C:$C,"&lt;"&amp;M65)</f>
        <v>11</v>
      </c>
      <c r="P65" s="26">
        <f>COUNTIFS('CNA Detail'!$A:$A,$A65,'CNA Detail'!$C:$C,"&lt;"&amp;$AD$1)</f>
        <v>12</v>
      </c>
      <c r="Q65" s="26">
        <f>COUNTIFS('CNA Detail'!$A:$A,$A65,'CNA Detail'!$C:$C,"&lt;"&amp;$AD$2)</f>
        <v>11</v>
      </c>
      <c r="R65" s="26">
        <f>COUNTIFS('CNA Detail'!$A:$A,$A65,'CNA Detail'!$C:$C,"&lt;"&amp;$AD$3)</f>
        <v>11</v>
      </c>
      <c r="S65" s="28">
        <f>+CNA_Sample[[#This Row],[CNA median]]*CNA_Sample[[#This Row],[Cna Hrsn]]</f>
        <v>0</v>
      </c>
      <c r="T65" s="28">
        <f>+CNA_Sample[[#This Row],[CNA average]]*CNA_Sample[[#This Row],[Cna Hrsn]]</f>
        <v>0</v>
      </c>
      <c r="U65" s="30">
        <v>1</v>
      </c>
      <c r="V65" s="30">
        <v>1</v>
      </c>
      <c r="W65" s="30">
        <f>+CNA_Sample[[#This Row],[CNA min.]]/CNA_Sample[[#This Row],[CNA median]]</f>
        <v>0.99</v>
      </c>
      <c r="X65" s="30">
        <f>+CNA_Sample[[#This Row],[CNA max]]/CNA_Sample[[#This Row],[CNA median]]</f>
        <v>1.1925000000000001</v>
      </c>
      <c r="Y65" s="26">
        <f>VLOOKUP(A65,Summary!$1:$1048576,2,FALSE)</f>
        <v>3</v>
      </c>
    </row>
    <row r="66" spans="1:25" x14ac:dyDescent="0.55000000000000004">
      <c r="A66" s="26">
        <v>712</v>
      </c>
      <c r="B66" s="26" t="s">
        <v>54</v>
      </c>
      <c r="C66" s="26">
        <f>VLOOKUP($A66,'SAS Data'!$1:$1048576,MATCH(C$1,'SAS Data'!$3:$3,0),FALSE)</f>
        <v>17</v>
      </c>
      <c r="D66" s="26">
        <f>VLOOKUP($A66,'SAS Data'!$1:$1048576,MATCH(D$1,'SAS Data'!$3:$3,0),FALSE)</f>
        <v>9</v>
      </c>
      <c r="E66" s="26">
        <f t="shared" ref="E66:E97" si="2">SUM(C66:D66)</f>
        <v>26</v>
      </c>
      <c r="F66" s="27">
        <f>VLOOKUP($A66,'SAS Data'!$1:$1048576,MATCH(F$1,'SAS Data'!$3:$3,0),FALSE)</f>
        <v>22.357305315701545</v>
      </c>
      <c r="G66" s="28">
        <f>VLOOKUP($A66,'SAS Data'!$1:$1048576,MATCH(G$1,'SAS Data'!$3:$3,0),FALSE)</f>
        <v>49683</v>
      </c>
      <c r="H66" s="28">
        <f>+CNA_Sample[[#This Row],[Cna Cph]]*CNA_Sample[[#This Row],[Cna Hrsn]]</f>
        <v>1110777.9999999998</v>
      </c>
      <c r="I66" s="26">
        <v>41</v>
      </c>
      <c r="J66" s="29">
        <v>19.05</v>
      </c>
      <c r="K66" s="29">
        <v>26</v>
      </c>
      <c r="L66" s="29">
        <v>22.46</v>
      </c>
      <c r="M66" s="29">
        <v>22.657804878048783</v>
      </c>
      <c r="N66" s="26">
        <f>COUNTIFS('CNA Detail'!$A:$A,$A66,'CNA Detail'!$C:$C,"&lt;"&amp;L66)</f>
        <v>7</v>
      </c>
      <c r="O66" s="26">
        <f>COUNTIFS('CNA Detail'!$A:$A,$A66,'CNA Detail'!$C:$C,"&lt;"&amp;M66)</f>
        <v>35</v>
      </c>
      <c r="P66" s="26">
        <f>COUNTIFS('CNA Detail'!$A:$A,$A66,'CNA Detail'!$C:$C,"&lt;"&amp;$AD$1)</f>
        <v>35</v>
      </c>
      <c r="Q66" s="26">
        <f>COUNTIFS('CNA Detail'!$A:$A,$A66,'CNA Detail'!$C:$C,"&lt;"&amp;$AD$2)</f>
        <v>3</v>
      </c>
      <c r="R66" s="26">
        <f>COUNTIFS('CNA Detail'!$A:$A,$A66,'CNA Detail'!$C:$C,"&lt;"&amp;$AD$3)</f>
        <v>5</v>
      </c>
      <c r="S66" s="28">
        <f>+CNA_Sample[[#This Row],[CNA median]]*CNA_Sample[[#This Row],[Cna Hrsn]]</f>
        <v>1115880.18</v>
      </c>
      <c r="T66" s="28">
        <f>+CNA_Sample[[#This Row],[CNA average]]*CNA_Sample[[#This Row],[Cna Hrsn]]</f>
        <v>1125707.7197560978</v>
      </c>
      <c r="U66" s="30">
        <f>CNA_Sample[[#This Row],[Est median wage cost ]]/CNA_Sample[[#This Row],[Cost]]</f>
        <v>1.0045933390830573</v>
      </c>
      <c r="V66" s="30">
        <f>CNA_Sample[[#This Row],[Est average wage cost]]/CNA_Sample[[#This Row],[Cost]]</f>
        <v>1.0134407773255305</v>
      </c>
      <c r="W66" s="30">
        <f>+CNA_Sample[[#This Row],[CNA min.]]/CNA_Sample[[#This Row],[CNA median]]</f>
        <v>0.84817453250222619</v>
      </c>
      <c r="X66" s="30">
        <f>+CNA_Sample[[#This Row],[CNA max]]/CNA_Sample[[#This Row],[CNA median]]</f>
        <v>1.1576135351736421</v>
      </c>
      <c r="Y66" s="26">
        <f>VLOOKUP(A66,Summary!$1:$1048576,2,FALSE)</f>
        <v>3</v>
      </c>
    </row>
    <row r="67" spans="1:25" x14ac:dyDescent="0.55000000000000004">
      <c r="A67" s="26">
        <v>718</v>
      </c>
      <c r="B67" s="26" t="s">
        <v>54</v>
      </c>
      <c r="C67" s="26">
        <f>VLOOKUP($A67,'SAS Data'!$1:$1048576,MATCH(C$1,'SAS Data'!$3:$3,0),FALSE)</f>
        <v>25</v>
      </c>
      <c r="D67" s="26">
        <f>VLOOKUP($A67,'SAS Data'!$1:$1048576,MATCH(D$1,'SAS Data'!$3:$3,0),FALSE)</f>
        <v>21</v>
      </c>
      <c r="E67" s="26">
        <f t="shared" si="2"/>
        <v>46</v>
      </c>
      <c r="F67" s="27">
        <f>VLOOKUP($A67,'SAS Data'!$1:$1048576,MATCH(F$1,'SAS Data'!$3:$3,0),FALSE)</f>
        <v>26.940695106358245</v>
      </c>
      <c r="G67" s="28">
        <f>VLOOKUP($A67,'SAS Data'!$1:$1048576,MATCH(G$1,'SAS Data'!$3:$3,0),FALSE)</f>
        <v>43015</v>
      </c>
      <c r="H67" s="28">
        <f>+CNA_Sample[[#This Row],[Cna Cph]]*CNA_Sample[[#This Row],[Cna Hrsn]]</f>
        <v>1158854</v>
      </c>
      <c r="I67" s="26">
        <v>49</v>
      </c>
      <c r="J67" s="29">
        <v>17.059999999999999</v>
      </c>
      <c r="K67" s="29">
        <v>23.32</v>
      </c>
      <c r="L67" s="29">
        <v>17.579999999999998</v>
      </c>
      <c r="M67" s="29">
        <v>18.637551020408164</v>
      </c>
      <c r="N67" s="26">
        <f>COUNTIFS('CNA Detail'!$A:$A,$A67,'CNA Detail'!$C:$C,"&lt;"&amp;L67)</f>
        <v>23</v>
      </c>
      <c r="O67" s="26">
        <f>COUNTIFS('CNA Detail'!$A:$A,$A67,'CNA Detail'!$C:$C,"&lt;"&amp;M67)</f>
        <v>34</v>
      </c>
      <c r="P67" s="26">
        <f>COUNTIFS('CNA Detail'!$A:$A,$A67,'CNA Detail'!$C:$C,"&lt;"&amp;$AD$1)</f>
        <v>49</v>
      </c>
      <c r="Q67" s="26">
        <f>COUNTIFS('CNA Detail'!$A:$A,$A67,'CNA Detail'!$C:$C,"&lt;"&amp;$AD$2)</f>
        <v>39</v>
      </c>
      <c r="R67" s="26">
        <f>COUNTIFS('CNA Detail'!$A:$A,$A67,'CNA Detail'!$C:$C,"&lt;"&amp;$AD$3)</f>
        <v>39</v>
      </c>
      <c r="S67" s="28">
        <f>+CNA_Sample[[#This Row],[CNA median]]*CNA_Sample[[#This Row],[Cna Hrsn]]</f>
        <v>756203.7</v>
      </c>
      <c r="T67" s="28">
        <f>+CNA_Sample[[#This Row],[CNA average]]*CNA_Sample[[#This Row],[Cna Hrsn]]</f>
        <v>801694.25714285718</v>
      </c>
      <c r="U67" s="30">
        <f>CNA_Sample[[#This Row],[Est median wage cost ]]/CNA_Sample[[#This Row],[Cost]]</f>
        <v>0.65254441025357801</v>
      </c>
      <c r="V67" s="30">
        <f>CNA_Sample[[#This Row],[Est average wage cost]]/CNA_Sample[[#This Row],[Cost]]</f>
        <v>0.69179918880450619</v>
      </c>
      <c r="W67" s="30">
        <f>+CNA_Sample[[#This Row],[CNA min.]]/CNA_Sample[[#This Row],[CNA median]]</f>
        <v>0.9704209328782708</v>
      </c>
      <c r="X67" s="30">
        <f>+CNA_Sample[[#This Row],[CNA max]]/CNA_Sample[[#This Row],[CNA median]]</f>
        <v>1.3265073947667805</v>
      </c>
      <c r="Y67" s="26">
        <f>VLOOKUP(A67,Summary!$1:$1048576,2,FALSE)</f>
        <v>2</v>
      </c>
    </row>
    <row r="68" spans="1:25" x14ac:dyDescent="0.55000000000000004">
      <c r="A68" s="26">
        <v>719</v>
      </c>
      <c r="B68" s="26" t="s">
        <v>54</v>
      </c>
      <c r="C68" s="26">
        <f>VLOOKUP($A68,'SAS Data'!$1:$1048576,MATCH(C$1,'SAS Data'!$3:$3,0),FALSE)</f>
        <v>9</v>
      </c>
      <c r="D68" s="26">
        <f>VLOOKUP($A68,'SAS Data'!$1:$1048576,MATCH(D$1,'SAS Data'!$3:$3,0),FALSE)</f>
        <v>7</v>
      </c>
      <c r="E68" s="26">
        <f t="shared" si="2"/>
        <v>16</v>
      </c>
      <c r="F68" s="27">
        <f>VLOOKUP($A68,'SAS Data'!$1:$1048576,MATCH(F$1,'SAS Data'!$3:$3,0),FALSE)</f>
        <v>26.999916663194298</v>
      </c>
      <c r="G68" s="28">
        <f>VLOOKUP($A68,'SAS Data'!$1:$1048576,MATCH(G$1,'SAS Data'!$3:$3,0),FALSE)</f>
        <v>23999</v>
      </c>
      <c r="H68" s="28">
        <f>+CNA_Sample[[#This Row],[Cna Cph]]*CNA_Sample[[#This Row],[Cna Hrsn]]</f>
        <v>647971</v>
      </c>
      <c r="I68" s="26">
        <v>15</v>
      </c>
      <c r="J68" s="29">
        <v>16.420000000000002</v>
      </c>
      <c r="K68" s="29">
        <v>22.84</v>
      </c>
      <c r="L68" s="29">
        <v>21.03</v>
      </c>
      <c r="M68" s="29">
        <v>20.297333333333334</v>
      </c>
      <c r="N68" s="26">
        <f>COUNTIFS('CNA Detail'!$A:$A,$A68,'CNA Detail'!$C:$C,"&lt;"&amp;L68)</f>
        <v>7</v>
      </c>
      <c r="O68" s="26">
        <f>COUNTIFS('CNA Detail'!$A:$A,$A68,'CNA Detail'!$C:$C,"&lt;"&amp;M68)</f>
        <v>7</v>
      </c>
      <c r="P68" s="26">
        <f>COUNTIFS('CNA Detail'!$A:$A,$A68,'CNA Detail'!$C:$C,"&lt;"&amp;$AD$1)</f>
        <v>15</v>
      </c>
      <c r="Q68" s="26">
        <f>COUNTIFS('CNA Detail'!$A:$A,$A68,'CNA Detail'!$C:$C,"&lt;"&amp;$AD$2)</f>
        <v>7</v>
      </c>
      <c r="R68" s="26">
        <f>COUNTIFS('CNA Detail'!$A:$A,$A68,'CNA Detail'!$C:$C,"&lt;"&amp;$AD$3)</f>
        <v>7</v>
      </c>
      <c r="S68" s="28">
        <f>+CNA_Sample[[#This Row],[CNA median]]*CNA_Sample[[#This Row],[Cna Hrsn]]</f>
        <v>504698.97000000003</v>
      </c>
      <c r="T68" s="28">
        <f>+CNA_Sample[[#This Row],[CNA average]]*CNA_Sample[[#This Row],[Cna Hrsn]]</f>
        <v>487115.70266666671</v>
      </c>
      <c r="U68" s="30">
        <f>CNA_Sample[[#This Row],[Est median wage cost ]]/CNA_Sample[[#This Row],[Cost]]</f>
        <v>0.7788912929745313</v>
      </c>
      <c r="V68" s="30">
        <f>CNA_Sample[[#This Row],[Est average wage cost]]/CNA_Sample[[#This Row],[Cost]]</f>
        <v>0.75175540674917041</v>
      </c>
      <c r="W68" s="30">
        <f>+CNA_Sample[[#This Row],[CNA min.]]/CNA_Sample[[#This Row],[CNA median]]</f>
        <v>0.78078934854969095</v>
      </c>
      <c r="X68" s="30">
        <f>+CNA_Sample[[#This Row],[CNA max]]/CNA_Sample[[#This Row],[CNA median]]</f>
        <v>1.0860675225867806</v>
      </c>
      <c r="Y68" s="26">
        <f>VLOOKUP(A68,Summary!$1:$1048576,2,FALSE)</f>
        <v>2</v>
      </c>
    </row>
    <row r="69" spans="1:25" x14ac:dyDescent="0.55000000000000004">
      <c r="A69" s="26">
        <v>726</v>
      </c>
      <c r="B69" s="26" t="s">
        <v>54</v>
      </c>
      <c r="C69" s="26">
        <f>VLOOKUP($A69,'SAS Data'!$1:$1048576,MATCH(C$1,'SAS Data'!$3:$3,0),FALSE)</f>
        <v>12</v>
      </c>
      <c r="D69" s="26">
        <f>VLOOKUP($A69,'SAS Data'!$1:$1048576,MATCH(D$1,'SAS Data'!$3:$3,0),FALSE)</f>
        <v>1</v>
      </c>
      <c r="E69" s="26">
        <f t="shared" si="2"/>
        <v>13</v>
      </c>
      <c r="F69" s="27">
        <f>VLOOKUP($A69,'SAS Data'!$1:$1048576,MATCH(F$1,'SAS Data'!$3:$3,0),FALSE)</f>
        <v>26.020431654676258</v>
      </c>
      <c r="G69" s="28">
        <f>VLOOKUP($A69,'SAS Data'!$1:$1048576,MATCH(G$1,'SAS Data'!$3:$3,0),FALSE)</f>
        <v>38225</v>
      </c>
      <c r="H69" s="28">
        <f>+CNA_Sample[[#This Row],[Cna Cph]]*CNA_Sample[[#This Row],[Cna Hrsn]]</f>
        <v>994631</v>
      </c>
      <c r="I69" s="26">
        <v>19</v>
      </c>
      <c r="J69" s="29">
        <v>18.18</v>
      </c>
      <c r="K69" s="29">
        <v>26.54</v>
      </c>
      <c r="L69" s="29">
        <v>20.74</v>
      </c>
      <c r="M69" s="29">
        <v>20.142631578947373</v>
      </c>
      <c r="N69" s="26">
        <f>COUNTIFS('CNA Detail'!$A:$A,$A69,'CNA Detail'!$C:$C,"&lt;"&amp;L69)</f>
        <v>9</v>
      </c>
      <c r="O69" s="26">
        <f>COUNTIFS('CNA Detail'!$A:$A,$A69,'CNA Detail'!$C:$C,"&lt;"&amp;M69)</f>
        <v>8</v>
      </c>
      <c r="P69" s="26">
        <f>COUNTIFS('CNA Detail'!$A:$A,$A69,'CNA Detail'!$C:$C,"&lt;"&amp;$AD$1)</f>
        <v>19</v>
      </c>
      <c r="Q69" s="26">
        <f>COUNTIFS('CNA Detail'!$A:$A,$A69,'CNA Detail'!$C:$C,"&lt;"&amp;$AD$2)</f>
        <v>9</v>
      </c>
      <c r="R69" s="26">
        <f>COUNTIFS('CNA Detail'!$A:$A,$A69,'CNA Detail'!$C:$C,"&lt;"&amp;$AD$3)</f>
        <v>15</v>
      </c>
      <c r="S69" s="28">
        <f>+CNA_Sample[[#This Row],[CNA median]]*CNA_Sample[[#This Row],[Cna Hrsn]]</f>
        <v>792786.49999999988</v>
      </c>
      <c r="T69" s="28">
        <f>+CNA_Sample[[#This Row],[CNA average]]*CNA_Sample[[#This Row],[Cna Hrsn]]</f>
        <v>769952.09210526338</v>
      </c>
      <c r="U69" s="30">
        <f>CNA_Sample[[#This Row],[Est median wage cost ]]/CNA_Sample[[#This Row],[Cost]]</f>
        <v>0.7970659470698177</v>
      </c>
      <c r="V69" s="30">
        <f>CNA_Sample[[#This Row],[Est average wage cost]]/CNA_Sample[[#This Row],[Cost]]</f>
        <v>0.77410827945767158</v>
      </c>
      <c r="W69" s="30">
        <f>+CNA_Sample[[#This Row],[CNA min.]]/CNA_Sample[[#This Row],[CNA median]]</f>
        <v>0.87656702025072331</v>
      </c>
      <c r="X69" s="30">
        <f>+CNA_Sample[[#This Row],[CNA max]]/CNA_Sample[[#This Row],[CNA median]]</f>
        <v>1.2796528447444553</v>
      </c>
      <c r="Y69" s="26">
        <f>VLOOKUP(A69,Summary!$1:$1048576,2,FALSE)</f>
        <v>3</v>
      </c>
    </row>
    <row r="70" spans="1:25" x14ac:dyDescent="0.55000000000000004">
      <c r="A70" s="26">
        <v>728</v>
      </c>
      <c r="B70" s="26" t="s">
        <v>54</v>
      </c>
      <c r="C70" s="26">
        <f>VLOOKUP($A70,'SAS Data'!$1:$1048576,MATCH(C$1,'SAS Data'!$3:$3,0),FALSE)</f>
        <v>12</v>
      </c>
      <c r="D70" s="26">
        <f>VLOOKUP($A70,'SAS Data'!$1:$1048576,MATCH(D$1,'SAS Data'!$3:$3,0),FALSE)</f>
        <v>4</v>
      </c>
      <c r="E70" s="26">
        <f t="shared" si="2"/>
        <v>16</v>
      </c>
      <c r="F70" s="27">
        <f>VLOOKUP($A70,'SAS Data'!$1:$1048576,MATCH(F$1,'SAS Data'!$3:$3,0),FALSE)</f>
        <v>23.388821799040098</v>
      </c>
      <c r="G70" s="28">
        <f>VLOOKUP($A70,'SAS Data'!$1:$1048576,MATCH(G$1,'SAS Data'!$3:$3,0),FALSE)</f>
        <v>32295</v>
      </c>
      <c r="H70" s="28">
        <f>+CNA_Sample[[#This Row],[Cna Cph]]*CNA_Sample[[#This Row],[Cna Hrsn]]</f>
        <v>755342</v>
      </c>
      <c r="I70" s="26">
        <v>6</v>
      </c>
      <c r="J70" s="29">
        <v>20.25</v>
      </c>
      <c r="K70" s="29">
        <v>22.5</v>
      </c>
      <c r="L70" s="29">
        <v>22</v>
      </c>
      <c r="M70" s="29">
        <v>21.58</v>
      </c>
      <c r="N70" s="26">
        <f>COUNTIFS('CNA Detail'!$A:$A,$A70,'CNA Detail'!$C:$C,"&lt;"&amp;L70)</f>
        <v>3</v>
      </c>
      <c r="O70" s="26">
        <f>COUNTIFS('CNA Detail'!$A:$A,$A70,'CNA Detail'!$C:$C,"&lt;"&amp;M70)</f>
        <v>2</v>
      </c>
      <c r="P70" s="26">
        <f>COUNTIFS('CNA Detail'!$A:$A,$A70,'CNA Detail'!$C:$C,"&lt;"&amp;$AD$1)</f>
        <v>6</v>
      </c>
      <c r="Q70" s="26">
        <f>COUNTIFS('CNA Detail'!$A:$A,$A70,'CNA Detail'!$C:$C,"&lt;"&amp;$AD$2)</f>
        <v>2</v>
      </c>
      <c r="R70" s="26">
        <f>COUNTIFS('CNA Detail'!$A:$A,$A70,'CNA Detail'!$C:$C,"&lt;"&amp;$AD$3)</f>
        <v>2</v>
      </c>
      <c r="S70" s="28">
        <f>+CNA_Sample[[#This Row],[CNA median]]*CNA_Sample[[#This Row],[Cna Hrsn]]</f>
        <v>710490</v>
      </c>
      <c r="T70" s="28">
        <f>+CNA_Sample[[#This Row],[CNA average]]*CNA_Sample[[#This Row],[Cna Hrsn]]</f>
        <v>696926.1</v>
      </c>
      <c r="U70" s="30">
        <f>CNA_Sample[[#This Row],[Est median wage cost ]]/CNA_Sample[[#This Row],[Cost]]</f>
        <v>0.94062027531899461</v>
      </c>
      <c r="V70" s="30">
        <f>CNA_Sample[[#This Row],[Est average wage cost]]/CNA_Sample[[#This Row],[Cost]]</f>
        <v>0.92266297915381379</v>
      </c>
      <c r="W70" s="30">
        <f>+CNA_Sample[[#This Row],[CNA min.]]/CNA_Sample[[#This Row],[CNA median]]</f>
        <v>0.92045454545454541</v>
      </c>
      <c r="X70" s="30">
        <f>+CNA_Sample[[#This Row],[CNA max]]/CNA_Sample[[#This Row],[CNA median]]</f>
        <v>1.0227272727272727</v>
      </c>
      <c r="Y70" s="26">
        <f>VLOOKUP(A70,Summary!$1:$1048576,2,FALSE)</f>
        <v>3</v>
      </c>
    </row>
    <row r="71" spans="1:25" x14ac:dyDescent="0.55000000000000004">
      <c r="A71" s="26">
        <v>738</v>
      </c>
      <c r="B71" s="26" t="s">
        <v>54</v>
      </c>
      <c r="C71" s="26">
        <f>VLOOKUP($A71,'SAS Data'!$1:$1048576,MATCH(C$1,'SAS Data'!$3:$3,0),FALSE)</f>
        <v>9</v>
      </c>
      <c r="D71" s="26">
        <f>VLOOKUP($A71,'SAS Data'!$1:$1048576,MATCH(D$1,'SAS Data'!$3:$3,0),FALSE)</f>
        <v>5</v>
      </c>
      <c r="E71" s="26">
        <f t="shared" si="2"/>
        <v>14</v>
      </c>
      <c r="F71" s="27">
        <f>VLOOKUP($A71,'SAS Data'!$1:$1048576,MATCH(F$1,'SAS Data'!$3:$3,0),FALSE)</f>
        <v>26.182547789289362</v>
      </c>
      <c r="G71" s="28">
        <f>VLOOKUP($A71,'SAS Data'!$1:$1048576,MATCH(G$1,'SAS Data'!$3:$3,0),FALSE)</f>
        <v>20559</v>
      </c>
      <c r="H71" s="28">
        <f>+CNA_Sample[[#This Row],[Cna Cph]]*CNA_Sample[[#This Row],[Cna Hrsn]]</f>
        <v>538287</v>
      </c>
      <c r="I71" s="26">
        <v>13</v>
      </c>
      <c r="J71" s="29">
        <v>14</v>
      </c>
      <c r="K71" s="29">
        <v>23.31</v>
      </c>
      <c r="L71" s="29">
        <v>19.11</v>
      </c>
      <c r="M71" s="29">
        <v>19.471538461538461</v>
      </c>
      <c r="N71" s="26">
        <f>COUNTIFS('CNA Detail'!$A:$A,$A71,'CNA Detail'!$C:$C,"&lt;"&amp;L71)</f>
        <v>6</v>
      </c>
      <c r="O71" s="26">
        <f>COUNTIFS('CNA Detail'!$A:$A,$A71,'CNA Detail'!$C:$C,"&lt;"&amp;M71)</f>
        <v>7</v>
      </c>
      <c r="P71" s="26">
        <f>COUNTIFS('CNA Detail'!$A:$A,$A71,'CNA Detail'!$C:$C,"&lt;"&amp;$AD$1)</f>
        <v>13</v>
      </c>
      <c r="Q71" s="26">
        <f>COUNTIFS('CNA Detail'!$A:$A,$A71,'CNA Detail'!$C:$C,"&lt;"&amp;$AD$2)</f>
        <v>8</v>
      </c>
      <c r="R71" s="26">
        <f>COUNTIFS('CNA Detail'!$A:$A,$A71,'CNA Detail'!$C:$C,"&lt;"&amp;$AD$3)</f>
        <v>9</v>
      </c>
      <c r="S71" s="28">
        <f>+CNA_Sample[[#This Row],[CNA median]]*CNA_Sample[[#This Row],[Cna Hrsn]]</f>
        <v>392882.49</v>
      </c>
      <c r="T71" s="28">
        <f>+CNA_Sample[[#This Row],[CNA average]]*CNA_Sample[[#This Row],[Cna Hrsn]]</f>
        <v>400315.35923076922</v>
      </c>
      <c r="U71" s="30">
        <f>CNA_Sample[[#This Row],[Est median wage cost ]]/CNA_Sample[[#This Row],[Cost]]</f>
        <v>0.72987549392796036</v>
      </c>
      <c r="V71" s="30">
        <f>CNA_Sample[[#This Row],[Est average wage cost]]/CNA_Sample[[#This Row],[Cost]]</f>
        <v>0.74368386981437262</v>
      </c>
      <c r="W71" s="30">
        <f>+CNA_Sample[[#This Row],[CNA min.]]/CNA_Sample[[#This Row],[CNA median]]</f>
        <v>0.73260073260073266</v>
      </c>
      <c r="X71" s="30">
        <f>+CNA_Sample[[#This Row],[CNA max]]/CNA_Sample[[#This Row],[CNA median]]</f>
        <v>1.2197802197802197</v>
      </c>
      <c r="Y71" s="26">
        <f>VLOOKUP(A71,Summary!$1:$1048576,2,FALSE)</f>
        <v>2</v>
      </c>
    </row>
    <row r="72" spans="1:25" x14ac:dyDescent="0.55000000000000004">
      <c r="A72" s="26">
        <v>752</v>
      </c>
      <c r="B72" s="26" t="s">
        <v>54</v>
      </c>
      <c r="C72" s="26">
        <f>VLOOKUP($A72,'SAS Data'!$1:$1048576,MATCH(C$1,'SAS Data'!$3:$3,0),FALSE)</f>
        <v>31</v>
      </c>
      <c r="D72" s="26">
        <f>VLOOKUP($A72,'SAS Data'!$1:$1048576,MATCH(D$1,'SAS Data'!$3:$3,0),FALSE)</f>
        <v>10</v>
      </c>
      <c r="E72" s="26">
        <f t="shared" si="2"/>
        <v>41</v>
      </c>
      <c r="F72" s="27">
        <f>VLOOKUP($A72,'SAS Data'!$1:$1048576,MATCH(F$1,'SAS Data'!$3:$3,0),FALSE)</f>
        <v>25.447391338769695</v>
      </c>
      <c r="G72" s="28">
        <f>VLOOKUP($A72,'SAS Data'!$1:$1048576,MATCH(G$1,'SAS Data'!$3:$3,0),FALSE)</f>
        <v>75786</v>
      </c>
      <c r="H72" s="28">
        <f>+CNA_Sample[[#This Row],[Cna Cph]]*CNA_Sample[[#This Row],[Cna Hrsn]]</f>
        <v>1928556</v>
      </c>
      <c r="I72" s="26">
        <v>32</v>
      </c>
      <c r="J72" s="29">
        <v>20.9</v>
      </c>
      <c r="K72" s="29">
        <v>28.25</v>
      </c>
      <c r="L72" s="29">
        <v>22.895</v>
      </c>
      <c r="M72" s="29">
        <v>24.0778125</v>
      </c>
      <c r="N72" s="26">
        <f>COUNTIFS('CNA Detail'!$A:$A,$A72,'CNA Detail'!$C:$C,"&lt;"&amp;L72)</f>
        <v>16</v>
      </c>
      <c r="O72" s="26">
        <f>COUNTIFS('CNA Detail'!$A:$A,$A72,'CNA Detail'!$C:$C,"&lt;"&amp;M72)</f>
        <v>19</v>
      </c>
      <c r="P72" s="26">
        <f>COUNTIFS('CNA Detail'!$A:$A,$A72,'CNA Detail'!$C:$C,"&lt;"&amp;$AD$1)</f>
        <v>23</v>
      </c>
      <c r="Q72" s="26">
        <f>COUNTIFS('CNA Detail'!$A:$A,$A72,'CNA Detail'!$C:$C,"&lt;"&amp;$AD$2)</f>
        <v>0</v>
      </c>
      <c r="R72" s="26">
        <f>COUNTIFS('CNA Detail'!$A:$A,$A72,'CNA Detail'!$C:$C,"&lt;"&amp;$AD$3)</f>
        <v>0</v>
      </c>
      <c r="S72" s="28">
        <f>+CNA_Sample[[#This Row],[CNA median]]*CNA_Sample[[#This Row],[Cna Hrsn]]</f>
        <v>1735120.47</v>
      </c>
      <c r="T72" s="28">
        <f>+CNA_Sample[[#This Row],[CNA average]]*CNA_Sample[[#This Row],[Cna Hrsn]]</f>
        <v>1824761.098125</v>
      </c>
      <c r="U72" s="30">
        <f>CNA_Sample[[#This Row],[Est median wage cost ]]/CNA_Sample[[#This Row],[Cost]]</f>
        <v>0.89969929314990071</v>
      </c>
      <c r="V72" s="30">
        <f>CNA_Sample[[#This Row],[Est average wage cost]]/CNA_Sample[[#This Row],[Cost]]</f>
        <v>0.94617999068992553</v>
      </c>
      <c r="W72" s="30">
        <f>+CNA_Sample[[#This Row],[CNA min.]]/CNA_Sample[[#This Row],[CNA median]]</f>
        <v>0.91286307053941906</v>
      </c>
      <c r="X72" s="30">
        <f>+CNA_Sample[[#This Row],[CNA max]]/CNA_Sample[[#This Row],[CNA median]]</f>
        <v>1.2338938632889278</v>
      </c>
      <c r="Y72" s="26">
        <f>VLOOKUP(A72,Summary!$1:$1048576,2,FALSE)</f>
        <v>3</v>
      </c>
    </row>
    <row r="73" spans="1:25" x14ac:dyDescent="0.55000000000000004">
      <c r="A73" s="26">
        <v>756</v>
      </c>
      <c r="B73" s="26" t="s">
        <v>54</v>
      </c>
      <c r="C73" s="26">
        <f>VLOOKUP($A73,'SAS Data'!$1:$1048576,MATCH(C$1,'SAS Data'!$3:$3,0),FALSE)</f>
        <v>8</v>
      </c>
      <c r="D73" s="26">
        <f>VLOOKUP($A73,'SAS Data'!$1:$1048576,MATCH(D$1,'SAS Data'!$3:$3,0),FALSE)</f>
        <v>1</v>
      </c>
      <c r="E73" s="26">
        <f t="shared" si="2"/>
        <v>9</v>
      </c>
      <c r="F73" s="27">
        <f>VLOOKUP($A73,'SAS Data'!$1:$1048576,MATCH(F$1,'SAS Data'!$3:$3,0),FALSE)</f>
        <v>17.154544253050794</v>
      </c>
      <c r="G73" s="28">
        <f>VLOOKUP($A73,'SAS Data'!$1:$1048576,MATCH(G$1,'SAS Data'!$3:$3,0),FALSE)</f>
        <v>22699</v>
      </c>
      <c r="H73" s="28">
        <f>+CNA_Sample[[#This Row],[Cna Cph]]*CNA_Sample[[#This Row],[Cna Hrsn]]</f>
        <v>389391</v>
      </c>
      <c r="I73" s="26">
        <v>11</v>
      </c>
      <c r="J73" s="29">
        <v>19</v>
      </c>
      <c r="K73" s="29">
        <v>29</v>
      </c>
      <c r="L73" s="29">
        <v>20.58</v>
      </c>
      <c r="M73" s="29">
        <v>20.954545454545453</v>
      </c>
      <c r="N73" s="26">
        <f>COUNTIFS('CNA Detail'!$A:$A,$A73,'CNA Detail'!$C:$C,"&lt;"&amp;L73)</f>
        <v>5</v>
      </c>
      <c r="O73" s="26">
        <f>COUNTIFS('CNA Detail'!$A:$A,$A73,'CNA Detail'!$C:$C,"&lt;"&amp;M73)</f>
        <v>7</v>
      </c>
      <c r="P73" s="26">
        <f>COUNTIFS('CNA Detail'!$A:$A,$A73,'CNA Detail'!$C:$C,"&lt;"&amp;$AD$1)</f>
        <v>10</v>
      </c>
      <c r="Q73" s="26">
        <f>COUNTIFS('CNA Detail'!$A:$A,$A73,'CNA Detail'!$C:$C,"&lt;"&amp;$AD$2)</f>
        <v>5</v>
      </c>
      <c r="R73" s="26">
        <f>COUNTIFS('CNA Detail'!$A:$A,$A73,'CNA Detail'!$C:$C,"&lt;"&amp;$AD$3)</f>
        <v>6</v>
      </c>
      <c r="S73" s="28">
        <f>+CNA_Sample[[#This Row],[CNA median]]*CNA_Sample[[#This Row],[Cna Hrsn]]</f>
        <v>467145.42</v>
      </c>
      <c r="T73" s="28">
        <f>+CNA_Sample[[#This Row],[CNA average]]*CNA_Sample[[#This Row],[Cna Hrsn]]</f>
        <v>475647.22727272724</v>
      </c>
      <c r="U73" s="30">
        <f>CNA_Sample[[#This Row],[Est median wage cost ]]/CNA_Sample[[#This Row],[Cost]]</f>
        <v>1.1996821190012095</v>
      </c>
      <c r="V73" s="30">
        <f>CNA_Sample[[#This Row],[Est average wage cost]]/CNA_Sample[[#This Row],[Cost]]</f>
        <v>1.2215157188346091</v>
      </c>
      <c r="W73" s="30">
        <f>+CNA_Sample[[#This Row],[CNA min.]]/CNA_Sample[[#This Row],[CNA median]]</f>
        <v>0.92322643343051514</v>
      </c>
      <c r="X73" s="30">
        <f>+CNA_Sample[[#This Row],[CNA max]]/CNA_Sample[[#This Row],[CNA median]]</f>
        <v>1.4091350826044704</v>
      </c>
      <c r="Y73" s="26">
        <f>VLOOKUP(A73,Summary!$1:$1048576,2,FALSE)</f>
        <v>2</v>
      </c>
    </row>
    <row r="74" spans="1:25" x14ac:dyDescent="0.55000000000000004">
      <c r="A74" s="26">
        <v>766</v>
      </c>
      <c r="B74" s="26" t="s">
        <v>54</v>
      </c>
      <c r="C74" s="26">
        <f>VLOOKUP($A74,'SAS Data'!$1:$1048576,MATCH(C$1,'SAS Data'!$3:$3,0),FALSE)</f>
        <v>8</v>
      </c>
      <c r="D74" s="26">
        <f>VLOOKUP($A74,'SAS Data'!$1:$1048576,MATCH(D$1,'SAS Data'!$3:$3,0),FALSE)</f>
        <v>5</v>
      </c>
      <c r="E74" s="26">
        <f t="shared" si="2"/>
        <v>13</v>
      </c>
      <c r="F74" s="27">
        <f>VLOOKUP($A74,'SAS Data'!$1:$1048576,MATCH(F$1,'SAS Data'!$3:$3,0),FALSE)</f>
        <v>24.000452335180366</v>
      </c>
      <c r="G74" s="28">
        <f>VLOOKUP($A74,'SAS Data'!$1:$1048576,MATCH(G$1,'SAS Data'!$3:$3,0),FALSE)</f>
        <v>26529</v>
      </c>
      <c r="H74" s="28">
        <f>+CNA_Sample[[#This Row],[Cna Cph]]*CNA_Sample[[#This Row],[Cna Hrsn]]</f>
        <v>636707.99999999988</v>
      </c>
      <c r="I74" s="26">
        <v>12</v>
      </c>
      <c r="J74" s="29">
        <v>18.73</v>
      </c>
      <c r="K74" s="29">
        <v>24.78</v>
      </c>
      <c r="L74" s="29">
        <v>20.984999999999999</v>
      </c>
      <c r="M74" s="29">
        <v>21.502499999999998</v>
      </c>
      <c r="N74" s="26">
        <f>COUNTIFS('CNA Detail'!$A:$A,$A74,'CNA Detail'!$C:$C,"&lt;"&amp;L74)</f>
        <v>6</v>
      </c>
      <c r="O74" s="26">
        <f>COUNTIFS('CNA Detail'!$A:$A,$A74,'CNA Detail'!$C:$C,"&lt;"&amp;M74)</f>
        <v>7</v>
      </c>
      <c r="P74" s="26">
        <f>COUNTIFS('CNA Detail'!$A:$A,$A74,'CNA Detail'!$C:$C,"&lt;"&amp;$AD$1)</f>
        <v>12</v>
      </c>
      <c r="Q74" s="26">
        <f>COUNTIFS('CNA Detail'!$A:$A,$A74,'CNA Detail'!$C:$C,"&lt;"&amp;$AD$2)</f>
        <v>6</v>
      </c>
      <c r="R74" s="26">
        <f>COUNTIFS('CNA Detail'!$A:$A,$A74,'CNA Detail'!$C:$C,"&lt;"&amp;$AD$3)</f>
        <v>6</v>
      </c>
      <c r="S74" s="28">
        <f>+CNA_Sample[[#This Row],[CNA median]]*CNA_Sample[[#This Row],[Cna Hrsn]]</f>
        <v>556711.06499999994</v>
      </c>
      <c r="T74" s="28">
        <f>+CNA_Sample[[#This Row],[CNA average]]*CNA_Sample[[#This Row],[Cna Hrsn]]</f>
        <v>570439.82249999989</v>
      </c>
      <c r="U74" s="30">
        <f>CNA_Sample[[#This Row],[Est median wage cost ]]/CNA_Sample[[#This Row],[Cost]]</f>
        <v>0.87435852070336806</v>
      </c>
      <c r="V74" s="30">
        <f>CNA_Sample[[#This Row],[Est average wage cost]]/CNA_Sample[[#This Row],[Cost]]</f>
        <v>0.89592061431613867</v>
      </c>
      <c r="W74" s="30">
        <f>+CNA_Sample[[#This Row],[CNA min.]]/CNA_Sample[[#This Row],[CNA median]]</f>
        <v>0.8925422921134144</v>
      </c>
      <c r="X74" s="30">
        <f>+CNA_Sample[[#This Row],[CNA max]]/CNA_Sample[[#This Row],[CNA median]]</f>
        <v>1.18084345961401</v>
      </c>
      <c r="Y74" s="26">
        <f>VLOOKUP(A74,Summary!$1:$1048576,2,FALSE)</f>
        <v>2</v>
      </c>
    </row>
    <row r="75" spans="1:25" x14ac:dyDescent="0.55000000000000004">
      <c r="A75" s="26">
        <v>771</v>
      </c>
      <c r="B75" s="26" t="s">
        <v>54</v>
      </c>
      <c r="C75" s="26">
        <f>VLOOKUP($A75,'SAS Data'!$1:$1048576,MATCH(C$1,'SAS Data'!$3:$3,0),FALSE)</f>
        <v>9</v>
      </c>
      <c r="D75" s="26">
        <f>VLOOKUP($A75,'SAS Data'!$1:$1048576,MATCH(D$1,'SAS Data'!$3:$3,0),FALSE)</f>
        <v>5</v>
      </c>
      <c r="E75" s="26">
        <f t="shared" si="2"/>
        <v>14</v>
      </c>
      <c r="F75" s="27">
        <f>VLOOKUP($A75,'SAS Data'!$1:$1048576,MATCH(F$1,'SAS Data'!$3:$3,0),FALSE)</f>
        <v>22.633736487209674</v>
      </c>
      <c r="G75" s="28">
        <f>VLOOKUP($A75,'SAS Data'!$1:$1048576,MATCH(G$1,'SAS Data'!$3:$3,0),FALSE)</f>
        <v>28029</v>
      </c>
      <c r="H75" s="28">
        <f>+CNA_Sample[[#This Row],[Cna Cph]]*CNA_Sample[[#This Row],[Cna Hrsn]]</f>
        <v>634401</v>
      </c>
      <c r="I75" s="26">
        <v>23</v>
      </c>
      <c r="J75" s="29">
        <v>19.25</v>
      </c>
      <c r="K75" s="29">
        <v>22.95</v>
      </c>
      <c r="L75" s="29">
        <v>20.43</v>
      </c>
      <c r="M75" s="29">
        <v>20.54</v>
      </c>
      <c r="N75" s="26">
        <f>COUNTIFS('CNA Detail'!$A:$A,$A75,'CNA Detail'!$C:$C,"&lt;"&amp;L75)</f>
        <v>11</v>
      </c>
      <c r="O75" s="26">
        <f>COUNTIFS('CNA Detail'!$A:$A,$A75,'CNA Detail'!$C:$C,"&lt;"&amp;M75)</f>
        <v>14</v>
      </c>
      <c r="P75" s="26">
        <f>COUNTIFS('CNA Detail'!$A:$A,$A75,'CNA Detail'!$C:$C,"&lt;"&amp;$AD$1)</f>
        <v>23</v>
      </c>
      <c r="Q75" s="26">
        <f>COUNTIFS('CNA Detail'!$A:$A,$A75,'CNA Detail'!$C:$C,"&lt;"&amp;$AD$2)</f>
        <v>14</v>
      </c>
      <c r="R75" s="26">
        <f>COUNTIFS('CNA Detail'!$A:$A,$A75,'CNA Detail'!$C:$C,"&lt;"&amp;$AD$3)</f>
        <v>14</v>
      </c>
      <c r="S75" s="28">
        <f>+CNA_Sample[[#This Row],[CNA median]]*CNA_Sample[[#This Row],[Cna Hrsn]]</f>
        <v>572632.47</v>
      </c>
      <c r="T75" s="28">
        <f>+CNA_Sample[[#This Row],[CNA average]]*CNA_Sample[[#This Row],[Cna Hrsn]]</f>
        <v>575715.66</v>
      </c>
      <c r="U75" s="30">
        <f>CNA_Sample[[#This Row],[Est median wage cost ]]/CNA_Sample[[#This Row],[Cost]]</f>
        <v>0.90263487920101004</v>
      </c>
      <c r="V75" s="30">
        <f>CNA_Sample[[#This Row],[Est average wage cost]]/CNA_Sample[[#This Row],[Cost]]</f>
        <v>0.90749488099798081</v>
      </c>
      <c r="W75" s="30">
        <f>+CNA_Sample[[#This Row],[CNA min.]]/CNA_Sample[[#This Row],[CNA median]]</f>
        <v>0.94224180127263824</v>
      </c>
      <c r="X75" s="30">
        <f>+CNA_Sample[[#This Row],[CNA max]]/CNA_Sample[[#This Row],[CNA median]]</f>
        <v>1.1233480176211454</v>
      </c>
      <c r="Y75" s="26">
        <f>VLOOKUP(A75,Summary!$1:$1048576,2,FALSE)</f>
        <v>2</v>
      </c>
    </row>
    <row r="76" spans="1:25" x14ac:dyDescent="0.55000000000000004">
      <c r="A76" s="26">
        <v>776</v>
      </c>
      <c r="B76" s="26" t="s">
        <v>54</v>
      </c>
      <c r="C76" s="26">
        <f>VLOOKUP($A76,'SAS Data'!$1:$1048576,MATCH(C$1,'SAS Data'!$3:$3,0),FALSE)</f>
        <v>3</v>
      </c>
      <c r="D76" s="26">
        <f>VLOOKUP($A76,'SAS Data'!$1:$1048576,MATCH(D$1,'SAS Data'!$3:$3,0),FALSE)</f>
        <v>5</v>
      </c>
      <c r="E76" s="26">
        <f t="shared" si="2"/>
        <v>8</v>
      </c>
      <c r="F76" s="27">
        <f>VLOOKUP($A76,'SAS Data'!$1:$1048576,MATCH(F$1,'SAS Data'!$3:$3,0),FALSE)</f>
        <v>19.616275887236565</v>
      </c>
      <c r="G76" s="28">
        <f>VLOOKUP($A76,'SAS Data'!$1:$1048576,MATCH(G$1,'SAS Data'!$3:$3,0),FALSE)</f>
        <v>21922</v>
      </c>
      <c r="H76" s="28">
        <f>+CNA_Sample[[#This Row],[Cna Cph]]*CNA_Sample[[#This Row],[Cna Hrsn]]</f>
        <v>430028</v>
      </c>
      <c r="I76" s="26">
        <v>23</v>
      </c>
      <c r="J76" s="29">
        <v>19</v>
      </c>
      <c r="K76" s="29">
        <v>26</v>
      </c>
      <c r="L76" s="29">
        <v>22</v>
      </c>
      <c r="M76" s="29">
        <v>22.423913043478262</v>
      </c>
      <c r="N76" s="26">
        <f>COUNTIFS('CNA Detail'!$A:$A,$A76,'CNA Detail'!$C:$C,"&lt;"&amp;L76)</f>
        <v>5</v>
      </c>
      <c r="O76" s="26">
        <f>COUNTIFS('CNA Detail'!$A:$A,$A76,'CNA Detail'!$C:$C,"&lt;"&amp;M76)</f>
        <v>13</v>
      </c>
      <c r="P76" s="26">
        <f>COUNTIFS('CNA Detail'!$A:$A,$A76,'CNA Detail'!$C:$C,"&lt;"&amp;$AD$1)</f>
        <v>21</v>
      </c>
      <c r="Q76" s="26">
        <f>COUNTIFS('CNA Detail'!$A:$A,$A76,'CNA Detail'!$C:$C,"&lt;"&amp;$AD$2)</f>
        <v>2</v>
      </c>
      <c r="R76" s="26">
        <f>COUNTIFS('CNA Detail'!$A:$A,$A76,'CNA Detail'!$C:$C,"&lt;"&amp;$AD$3)</f>
        <v>2</v>
      </c>
      <c r="S76" s="28">
        <f>+CNA_Sample[[#This Row],[CNA median]]*CNA_Sample[[#This Row],[Cna Hrsn]]</f>
        <v>482284</v>
      </c>
      <c r="T76" s="28">
        <f>+CNA_Sample[[#This Row],[CNA average]]*CNA_Sample[[#This Row],[Cna Hrsn]]</f>
        <v>491577.02173913043</v>
      </c>
      <c r="U76" s="30">
        <f>CNA_Sample[[#This Row],[Est median wage cost ]]/CNA_Sample[[#This Row],[Cost]]</f>
        <v>1.1215176686169273</v>
      </c>
      <c r="V76" s="30">
        <f>CNA_Sample[[#This Row],[Est average wage cost]]/CNA_Sample[[#This Row],[Cost]]</f>
        <v>1.1431279398995657</v>
      </c>
      <c r="W76" s="30">
        <f>+CNA_Sample[[#This Row],[CNA min.]]/CNA_Sample[[#This Row],[CNA median]]</f>
        <v>0.86363636363636365</v>
      </c>
      <c r="X76" s="30">
        <f>+CNA_Sample[[#This Row],[CNA max]]/CNA_Sample[[#This Row],[CNA median]]</f>
        <v>1.1818181818181819</v>
      </c>
      <c r="Y76" s="26">
        <f>VLOOKUP(A76,Summary!$1:$1048576,2,FALSE)</f>
        <v>1</v>
      </c>
    </row>
    <row r="77" spans="1:25" x14ac:dyDescent="0.55000000000000004">
      <c r="A77" s="26">
        <v>777</v>
      </c>
      <c r="B77" s="26" t="s">
        <v>54</v>
      </c>
      <c r="C77" s="26">
        <f>VLOOKUP($A77,'SAS Data'!$1:$1048576,MATCH(C$1,'SAS Data'!$3:$3,0),FALSE)</f>
        <v>6</v>
      </c>
      <c r="D77" s="26">
        <f>VLOOKUP($A77,'SAS Data'!$1:$1048576,MATCH(D$1,'SAS Data'!$3:$3,0),FALSE)</f>
        <v>2</v>
      </c>
      <c r="E77" s="26">
        <f t="shared" si="2"/>
        <v>8</v>
      </c>
      <c r="F77" s="27">
        <f>VLOOKUP($A77,'SAS Data'!$1:$1048576,MATCH(F$1,'SAS Data'!$3:$3,0),FALSE)</f>
        <v>17.053081668804595</v>
      </c>
      <c r="G77" s="28">
        <f>VLOOKUP($A77,'SAS Data'!$1:$1048576,MATCH(G$1,'SAS Data'!$3:$3,0),FALSE)</f>
        <v>16371</v>
      </c>
      <c r="H77" s="28">
        <f>+CNA_Sample[[#This Row],[Cna Cph]]*CNA_Sample[[#This Row],[Cna Hrsn]]</f>
        <v>279176</v>
      </c>
      <c r="I77" s="26">
        <v>10</v>
      </c>
      <c r="J77" s="29">
        <v>18.27</v>
      </c>
      <c r="K77" s="29">
        <v>21.39</v>
      </c>
      <c r="L77" s="29">
        <v>19.32</v>
      </c>
      <c r="M77" s="29">
        <v>19.586000000000002</v>
      </c>
      <c r="N77" s="26">
        <f>COUNTIFS('CNA Detail'!$A:$A,$A77,'CNA Detail'!$C:$C,"&lt;"&amp;L77)</f>
        <v>5</v>
      </c>
      <c r="O77" s="26">
        <f>COUNTIFS('CNA Detail'!$A:$A,$A77,'CNA Detail'!$C:$C,"&lt;"&amp;M77)</f>
        <v>8</v>
      </c>
      <c r="P77" s="26">
        <f>COUNTIFS('CNA Detail'!$A:$A,$A77,'CNA Detail'!$C:$C,"&lt;"&amp;$AD$1)</f>
        <v>10</v>
      </c>
      <c r="Q77" s="26">
        <f>COUNTIFS('CNA Detail'!$A:$A,$A77,'CNA Detail'!$C:$C,"&lt;"&amp;$AD$2)</f>
        <v>8</v>
      </c>
      <c r="R77" s="26">
        <f>COUNTIFS('CNA Detail'!$A:$A,$A77,'CNA Detail'!$C:$C,"&lt;"&amp;$AD$3)</f>
        <v>8</v>
      </c>
      <c r="S77" s="28">
        <f>+CNA_Sample[[#This Row],[CNA median]]*CNA_Sample[[#This Row],[Cna Hrsn]]</f>
        <v>316287.72000000003</v>
      </c>
      <c r="T77" s="28">
        <f>+CNA_Sample[[#This Row],[CNA average]]*CNA_Sample[[#This Row],[Cna Hrsn]]</f>
        <v>320642.40600000002</v>
      </c>
      <c r="U77" s="30">
        <f>CNA_Sample[[#This Row],[Est median wage cost ]]/CNA_Sample[[#This Row],[Cost]]</f>
        <v>1.1329330601484369</v>
      </c>
      <c r="V77" s="30">
        <f>CNA_Sample[[#This Row],[Est average wage cost]]/CNA_Sample[[#This Row],[Cost]]</f>
        <v>1.1485314138751184</v>
      </c>
      <c r="W77" s="30">
        <f>+CNA_Sample[[#This Row],[CNA min.]]/CNA_Sample[[#This Row],[CNA median]]</f>
        <v>0.94565217391304346</v>
      </c>
      <c r="X77" s="30">
        <f>+CNA_Sample[[#This Row],[CNA max]]/CNA_Sample[[#This Row],[CNA median]]</f>
        <v>1.1071428571428572</v>
      </c>
      <c r="Y77" s="26">
        <f>VLOOKUP(A77,Summary!$1:$1048576,2,FALSE)</f>
        <v>2</v>
      </c>
    </row>
    <row r="78" spans="1:25" x14ac:dyDescent="0.55000000000000004">
      <c r="A78" s="26">
        <v>783</v>
      </c>
      <c r="B78" s="26" t="s">
        <v>54</v>
      </c>
      <c r="C78" s="26">
        <f>VLOOKUP($A78,'SAS Data'!$1:$1048576,MATCH(C$1,'SAS Data'!$3:$3,0),FALSE)</f>
        <v>9</v>
      </c>
      <c r="D78" s="26">
        <f>VLOOKUP($A78,'SAS Data'!$1:$1048576,MATCH(D$1,'SAS Data'!$3:$3,0),FALSE)</f>
        <v>20</v>
      </c>
      <c r="E78" s="26">
        <f t="shared" si="2"/>
        <v>29</v>
      </c>
      <c r="F78" s="27">
        <f>VLOOKUP($A78,'SAS Data'!$1:$1048576,MATCH(F$1,'SAS Data'!$3:$3,0),FALSE)</f>
        <v>19.824803526931188</v>
      </c>
      <c r="G78" s="28">
        <f>VLOOKUP($A78,'SAS Data'!$1:$1048576,MATCH(G$1,'SAS Data'!$3:$3,0),FALSE)</f>
        <v>36519</v>
      </c>
      <c r="H78" s="28">
        <f>+CNA_Sample[[#This Row],[Cna Cph]]*CNA_Sample[[#This Row],[Cna Hrsn]]</f>
        <v>723982</v>
      </c>
      <c r="I78" s="26">
        <v>24</v>
      </c>
      <c r="J78" s="29">
        <v>17.82</v>
      </c>
      <c r="K78" s="29">
        <v>23.8794</v>
      </c>
      <c r="L78" s="29">
        <v>18.403950000000002</v>
      </c>
      <c r="M78" s="29">
        <v>18.799675000000001</v>
      </c>
      <c r="N78" s="26">
        <f>COUNTIFS('CNA Detail'!$A:$A,$A78,'CNA Detail'!$C:$C,"&lt;"&amp;L78)</f>
        <v>12</v>
      </c>
      <c r="O78" s="26">
        <f>COUNTIFS('CNA Detail'!$A:$A,$A78,'CNA Detail'!$C:$C,"&lt;"&amp;M78)</f>
        <v>19</v>
      </c>
      <c r="P78" s="26">
        <f>COUNTIFS('CNA Detail'!$A:$A,$A78,'CNA Detail'!$C:$C,"&lt;"&amp;$AD$1)</f>
        <v>24</v>
      </c>
      <c r="Q78" s="26">
        <f>COUNTIFS('CNA Detail'!$A:$A,$A78,'CNA Detail'!$C:$C,"&lt;"&amp;$AD$2)</f>
        <v>22</v>
      </c>
      <c r="R78" s="26">
        <f>COUNTIFS('CNA Detail'!$A:$A,$A78,'CNA Detail'!$C:$C,"&lt;"&amp;$AD$3)</f>
        <v>22</v>
      </c>
      <c r="S78" s="28">
        <f>+CNA_Sample[[#This Row],[CNA median]]*CNA_Sample[[#This Row],[Cna Hrsn]]</f>
        <v>672093.85005000001</v>
      </c>
      <c r="T78" s="28">
        <f>+CNA_Sample[[#This Row],[CNA average]]*CNA_Sample[[#This Row],[Cna Hrsn]]</f>
        <v>686545.33132500004</v>
      </c>
      <c r="U78" s="30">
        <f>CNA_Sample[[#This Row],[Est median wage cost ]]/CNA_Sample[[#This Row],[Cost]]</f>
        <v>0.92832950273625592</v>
      </c>
      <c r="V78" s="30">
        <f>CNA_Sample[[#This Row],[Est average wage cost]]/CNA_Sample[[#This Row],[Cost]]</f>
        <v>0.94829060850269764</v>
      </c>
      <c r="W78" s="30">
        <f>+CNA_Sample[[#This Row],[CNA min.]]/CNA_Sample[[#This Row],[CNA median]]</f>
        <v>0.96827039847424046</v>
      </c>
      <c r="X78" s="30">
        <f>+CNA_Sample[[#This Row],[CNA max]]/CNA_Sample[[#This Row],[CNA median]]</f>
        <v>1.2975149356524005</v>
      </c>
      <c r="Y78" s="26">
        <f>VLOOKUP(A78,Summary!$1:$1048576,2,FALSE)</f>
        <v>2</v>
      </c>
    </row>
    <row r="79" spans="1:25" x14ac:dyDescent="0.55000000000000004">
      <c r="A79" s="26">
        <v>788</v>
      </c>
      <c r="B79" s="26" t="s">
        <v>54</v>
      </c>
      <c r="C79" s="26">
        <f>VLOOKUP($A79,'SAS Data'!$1:$1048576,MATCH(C$1,'SAS Data'!$3:$3,0),FALSE)</f>
        <v>12</v>
      </c>
      <c r="D79" s="26">
        <f>VLOOKUP($A79,'SAS Data'!$1:$1048576,MATCH(D$1,'SAS Data'!$3:$3,0),FALSE)</f>
        <v>13</v>
      </c>
      <c r="E79" s="26">
        <f t="shared" si="2"/>
        <v>25</v>
      </c>
      <c r="F79" s="27">
        <f>VLOOKUP($A79,'SAS Data'!$1:$1048576,MATCH(F$1,'SAS Data'!$3:$3,0),FALSE)</f>
        <v>20.625558995528035</v>
      </c>
      <c r="G79" s="28">
        <f>VLOOKUP($A79,'SAS Data'!$1:$1048576,MATCH(G$1,'SAS Data'!$3:$3,0),FALSE)</f>
        <v>17442</v>
      </c>
      <c r="H79" s="28">
        <f>+CNA_Sample[[#This Row],[Cna Cph]]*CNA_Sample[[#This Row],[Cna Hrsn]]</f>
        <v>359751</v>
      </c>
      <c r="I79" s="26">
        <v>25</v>
      </c>
      <c r="J79" s="29">
        <v>19</v>
      </c>
      <c r="K79" s="29">
        <v>20.75</v>
      </c>
      <c r="L79" s="29">
        <v>19.22</v>
      </c>
      <c r="M79" s="29">
        <v>19.409199999999998</v>
      </c>
      <c r="N79" s="26">
        <f>COUNTIFS('CNA Detail'!$A:$A,$A79,'CNA Detail'!$C:$C,"&lt;"&amp;L79)</f>
        <v>12</v>
      </c>
      <c r="O79" s="26">
        <f>COUNTIFS('CNA Detail'!$A:$A,$A79,'CNA Detail'!$C:$C,"&lt;"&amp;M79)</f>
        <v>17</v>
      </c>
      <c r="P79" s="26">
        <f>COUNTIFS('CNA Detail'!$A:$A,$A79,'CNA Detail'!$C:$C,"&lt;"&amp;$AD$1)</f>
        <v>25</v>
      </c>
      <c r="Q79" s="26">
        <f>COUNTIFS('CNA Detail'!$A:$A,$A79,'CNA Detail'!$C:$C,"&lt;"&amp;$AD$2)</f>
        <v>23</v>
      </c>
      <c r="R79" s="26">
        <f>COUNTIFS('CNA Detail'!$A:$A,$A79,'CNA Detail'!$C:$C,"&lt;"&amp;$AD$3)</f>
        <v>25</v>
      </c>
      <c r="S79" s="28">
        <f>+CNA_Sample[[#This Row],[CNA median]]*CNA_Sample[[#This Row],[Cna Hrsn]]</f>
        <v>335235.24</v>
      </c>
      <c r="T79" s="28">
        <f>+CNA_Sample[[#This Row],[CNA average]]*CNA_Sample[[#This Row],[Cna Hrsn]]</f>
        <v>338535.26639999996</v>
      </c>
      <c r="U79" s="30">
        <f>CNA_Sample[[#This Row],[Est median wage cost ]]/CNA_Sample[[#This Row],[Cost]]</f>
        <v>0.93185353202631815</v>
      </c>
      <c r="V79" s="30">
        <f>CNA_Sample[[#This Row],[Est average wage cost]]/CNA_Sample[[#This Row],[Cost]]</f>
        <v>0.94102661674324728</v>
      </c>
      <c r="W79" s="30">
        <f>+CNA_Sample[[#This Row],[CNA min.]]/CNA_Sample[[#This Row],[CNA median]]</f>
        <v>0.98855359001040588</v>
      </c>
      <c r="X79" s="30">
        <f>+CNA_Sample[[#This Row],[CNA max]]/CNA_Sample[[#This Row],[CNA median]]</f>
        <v>1.0796045785639958</v>
      </c>
      <c r="Y79" s="26">
        <f>VLOOKUP(A79,Summary!$1:$1048576,2,FALSE)</f>
        <v>3</v>
      </c>
    </row>
    <row r="80" spans="1:25" x14ac:dyDescent="0.55000000000000004">
      <c r="A80" s="26">
        <v>814</v>
      </c>
      <c r="B80" s="26" t="s">
        <v>54</v>
      </c>
      <c r="C80" s="26">
        <f>VLOOKUP($A80,'SAS Data'!$1:$1048576,MATCH(C$1,'SAS Data'!$3:$3,0),FALSE)</f>
        <v>13</v>
      </c>
      <c r="D80" s="26">
        <f>VLOOKUP($A80,'SAS Data'!$1:$1048576,MATCH(D$1,'SAS Data'!$3:$3,0),FALSE)</f>
        <v>10</v>
      </c>
      <c r="E80" s="26">
        <f t="shared" si="2"/>
        <v>23</v>
      </c>
      <c r="F80" s="27">
        <f>VLOOKUP($A80,'SAS Data'!$1:$1048576,MATCH(F$1,'SAS Data'!$3:$3,0),FALSE)</f>
        <v>23.994597942400993</v>
      </c>
      <c r="G80" s="28">
        <f>VLOOKUP($A80,'SAS Data'!$1:$1048576,MATCH(G$1,'SAS Data'!$3:$3,0),FALSE)</f>
        <v>58126</v>
      </c>
      <c r="H80" s="28">
        <f>+CNA_Sample[[#This Row],[Cna Cph]]*CNA_Sample[[#This Row],[Cna Hrsn]]</f>
        <v>1394710.0000000002</v>
      </c>
      <c r="I80" s="26">
        <v>54</v>
      </c>
      <c r="J80" s="29">
        <v>20.5</v>
      </c>
      <c r="K80" s="29">
        <v>23.58</v>
      </c>
      <c r="L80" s="29">
        <v>22.5</v>
      </c>
      <c r="M80" s="29">
        <v>22.402777777777782</v>
      </c>
      <c r="N80" s="26">
        <f>COUNTIFS('CNA Detail'!$A:$A,$A80,'CNA Detail'!$C:$C,"&lt;"&amp;L80)</f>
        <v>27</v>
      </c>
      <c r="O80" s="26">
        <f>COUNTIFS('CNA Detail'!$A:$A,$A80,'CNA Detail'!$C:$C,"&lt;"&amp;M80)</f>
        <v>27</v>
      </c>
      <c r="P80" s="26">
        <f>COUNTIFS('CNA Detail'!$A:$A,$A80,'CNA Detail'!$C:$C,"&lt;"&amp;$AD$1)</f>
        <v>54</v>
      </c>
      <c r="Q80" s="26">
        <f>COUNTIFS('CNA Detail'!$A:$A,$A80,'CNA Detail'!$C:$C,"&lt;"&amp;$AD$2)</f>
        <v>3</v>
      </c>
      <c r="R80" s="26">
        <f>COUNTIFS('CNA Detail'!$A:$A,$A80,'CNA Detail'!$C:$C,"&lt;"&amp;$AD$3)</f>
        <v>8</v>
      </c>
      <c r="S80" s="28">
        <f>+CNA_Sample[[#This Row],[CNA median]]*CNA_Sample[[#This Row],[Cna Hrsn]]</f>
        <v>1307835</v>
      </c>
      <c r="T80" s="28">
        <f>+CNA_Sample[[#This Row],[CNA average]]*CNA_Sample[[#This Row],[Cna Hrsn]]</f>
        <v>1302183.8611111115</v>
      </c>
      <c r="U80" s="30">
        <f>CNA_Sample[[#This Row],[Est median wage cost ]]/CNA_Sample[[#This Row],[Cost]]</f>
        <v>0.93771106538276761</v>
      </c>
      <c r="V80" s="30">
        <f>CNA_Sample[[#This Row],[Est average wage cost]]/CNA_Sample[[#This Row],[Cost]]</f>
        <v>0.93365922744592877</v>
      </c>
      <c r="W80" s="30">
        <f>+CNA_Sample[[#This Row],[CNA min.]]/CNA_Sample[[#This Row],[CNA median]]</f>
        <v>0.91111111111111109</v>
      </c>
      <c r="X80" s="30">
        <f>+CNA_Sample[[#This Row],[CNA max]]/CNA_Sample[[#This Row],[CNA median]]</f>
        <v>1.0479999999999998</v>
      </c>
      <c r="Y80" s="26">
        <f>VLOOKUP(A80,Summary!$1:$1048576,2,FALSE)</f>
        <v>3</v>
      </c>
    </row>
    <row r="81" spans="1:25" x14ac:dyDescent="0.55000000000000004">
      <c r="A81" s="26">
        <v>817</v>
      </c>
      <c r="B81" s="26" t="s">
        <v>54</v>
      </c>
      <c r="C81" s="26">
        <f>VLOOKUP($A81,'SAS Data'!$1:$1048576,MATCH(C$1,'SAS Data'!$3:$3,0),FALSE)</f>
        <v>15</v>
      </c>
      <c r="D81" s="26">
        <f>VLOOKUP($A81,'SAS Data'!$1:$1048576,MATCH(D$1,'SAS Data'!$3:$3,0),FALSE)</f>
        <v>4</v>
      </c>
      <c r="E81" s="26">
        <f t="shared" si="2"/>
        <v>19</v>
      </c>
      <c r="F81" s="27">
        <f>VLOOKUP($A81,'SAS Data'!$1:$1048576,MATCH(F$1,'SAS Data'!$3:$3,0),FALSE)</f>
        <v>21.970077093950085</v>
      </c>
      <c r="G81" s="28">
        <f>VLOOKUP($A81,'SAS Data'!$1:$1048576,MATCH(G$1,'SAS Data'!$3:$3,0),FALSE)</f>
        <v>45918</v>
      </c>
      <c r="H81" s="28">
        <f>+CNA_Sample[[#This Row],[Cna Cph]]*CNA_Sample[[#This Row],[Cna Hrsn]]</f>
        <v>1008822</v>
      </c>
      <c r="I81" s="26">
        <v>19</v>
      </c>
      <c r="J81" s="29">
        <v>17.340319703819357</v>
      </c>
      <c r="K81" s="29">
        <v>21.939822362685284</v>
      </c>
      <c r="L81" s="29">
        <v>18.745016487455178</v>
      </c>
      <c r="M81" s="29">
        <v>19.556827830020996</v>
      </c>
      <c r="N81" s="26">
        <f>COUNTIFS('CNA Detail'!$A:$A,$A81,'CNA Detail'!$C:$C,"&lt;"&amp;L81)</f>
        <v>9</v>
      </c>
      <c r="O81" s="26">
        <f>COUNTIFS('CNA Detail'!$A:$A,$A81,'CNA Detail'!$C:$C,"&lt;"&amp;M81)</f>
        <v>10</v>
      </c>
      <c r="P81" s="26">
        <f>COUNTIFS('CNA Detail'!$A:$A,$A81,'CNA Detail'!$C:$C,"&lt;"&amp;$AD$1)</f>
        <v>19</v>
      </c>
      <c r="Q81" s="26">
        <f>COUNTIFS('CNA Detail'!$A:$A,$A81,'CNA Detail'!$C:$C,"&lt;"&amp;$AD$2)</f>
        <v>11</v>
      </c>
      <c r="R81" s="26">
        <f>COUNTIFS('CNA Detail'!$A:$A,$A81,'CNA Detail'!$C:$C,"&lt;"&amp;$AD$3)</f>
        <v>11</v>
      </c>
      <c r="S81" s="28">
        <f>+CNA_Sample[[#This Row],[CNA median]]*CNA_Sample[[#This Row],[Cna Hrsn]]</f>
        <v>860733.66707096691</v>
      </c>
      <c r="T81" s="28">
        <f>+CNA_Sample[[#This Row],[CNA average]]*CNA_Sample[[#This Row],[Cna Hrsn]]</f>
        <v>898010.42029890406</v>
      </c>
      <c r="U81" s="30">
        <f>CNA_Sample[[#This Row],[Est median wage cost ]]/CNA_Sample[[#This Row],[Cost]]</f>
        <v>0.85320667775977022</v>
      </c>
      <c r="V81" s="30">
        <f>CNA_Sample[[#This Row],[Est average wage cost]]/CNA_Sample[[#This Row],[Cost]]</f>
        <v>0.89015745126385437</v>
      </c>
      <c r="W81" s="30">
        <f>+CNA_Sample[[#This Row],[CNA min.]]/CNA_Sample[[#This Row],[CNA median]]</f>
        <v>0.92506292087948316</v>
      </c>
      <c r="X81" s="30">
        <f>+CNA_Sample[[#This Row],[CNA max]]/CNA_Sample[[#This Row],[CNA median]]</f>
        <v>1.170434946129185</v>
      </c>
      <c r="Y81" s="26">
        <f>VLOOKUP(A81,Summary!$1:$1048576,2,FALSE)</f>
        <v>3</v>
      </c>
    </row>
    <row r="82" spans="1:25" x14ac:dyDescent="0.55000000000000004">
      <c r="A82" s="26">
        <v>820</v>
      </c>
      <c r="B82" s="26" t="s">
        <v>54</v>
      </c>
      <c r="C82" s="26">
        <f>VLOOKUP($A82,'SAS Data'!$1:$1048576,MATCH(C$1,'SAS Data'!$3:$3,0),FALSE)</f>
        <v>38</v>
      </c>
      <c r="D82" s="26">
        <f>VLOOKUP($A82,'SAS Data'!$1:$1048576,MATCH(D$1,'SAS Data'!$3:$3,0),FALSE)</f>
        <v>11</v>
      </c>
      <c r="E82" s="26">
        <f t="shared" si="2"/>
        <v>49</v>
      </c>
      <c r="F82" s="27">
        <f>VLOOKUP($A82,'SAS Data'!$1:$1048576,MATCH(F$1,'SAS Data'!$3:$3,0),FALSE)</f>
        <v>25.539187589303939</v>
      </c>
      <c r="G82" s="28">
        <f>VLOOKUP($A82,'SAS Data'!$1:$1048576,MATCH(G$1,'SAS Data'!$3:$3,0),FALSE)</f>
        <v>122475</v>
      </c>
      <c r="H82" s="28">
        <f>+CNA_Sample[[#This Row],[Cna Cph]]*CNA_Sample[[#This Row],[Cna Hrsn]]</f>
        <v>3127912</v>
      </c>
      <c r="I82" s="26">
        <v>46</v>
      </c>
      <c r="J82" s="29">
        <v>18.5</v>
      </c>
      <c r="K82" s="29">
        <v>22</v>
      </c>
      <c r="L82" s="29">
        <v>22</v>
      </c>
      <c r="M82" s="29">
        <v>21.498695652173915</v>
      </c>
      <c r="N82" s="26">
        <f>COUNTIFS('CNA Detail'!$A:$A,$A82,'CNA Detail'!$C:$C,"&lt;"&amp;L82)</f>
        <v>20</v>
      </c>
      <c r="O82" s="26">
        <f>COUNTIFS('CNA Detail'!$A:$A,$A82,'CNA Detail'!$C:$C,"&lt;"&amp;M82)</f>
        <v>20</v>
      </c>
      <c r="P82" s="26">
        <f>COUNTIFS('CNA Detail'!$A:$A,$A82,'CNA Detail'!$C:$C,"&lt;"&amp;$AD$1)</f>
        <v>46</v>
      </c>
      <c r="Q82" s="26">
        <f>COUNTIFS('CNA Detail'!$A:$A,$A82,'CNA Detail'!$C:$C,"&lt;"&amp;$AD$2)</f>
        <v>5</v>
      </c>
      <c r="R82" s="26">
        <f>COUNTIFS('CNA Detail'!$A:$A,$A82,'CNA Detail'!$C:$C,"&lt;"&amp;$AD$3)</f>
        <v>5</v>
      </c>
      <c r="S82" s="28">
        <f>+CNA_Sample[[#This Row],[CNA median]]*CNA_Sample[[#This Row],[Cna Hrsn]]</f>
        <v>2694450</v>
      </c>
      <c r="T82" s="28">
        <f>+CNA_Sample[[#This Row],[CNA average]]*CNA_Sample[[#This Row],[Cna Hrsn]]</f>
        <v>2633052.75</v>
      </c>
      <c r="U82" s="30">
        <f>CNA_Sample[[#This Row],[Est median wage cost ]]/CNA_Sample[[#This Row],[Cost]]</f>
        <v>0.8614212931821611</v>
      </c>
      <c r="V82" s="30">
        <f>CNA_Sample[[#This Row],[Est average wage cost]]/CNA_Sample[[#This Row],[Cost]]</f>
        <v>0.84179246411024355</v>
      </c>
      <c r="W82" s="30">
        <f>+CNA_Sample[[#This Row],[CNA min.]]/CNA_Sample[[#This Row],[CNA median]]</f>
        <v>0.84090909090909094</v>
      </c>
      <c r="X82" s="30">
        <f>+CNA_Sample[[#This Row],[CNA max]]/CNA_Sample[[#This Row],[CNA median]]</f>
        <v>1</v>
      </c>
      <c r="Y82" s="26">
        <f>VLOOKUP(A82,Summary!$1:$1048576,2,FALSE)</f>
        <v>3</v>
      </c>
    </row>
    <row r="83" spans="1:25" x14ac:dyDescent="0.55000000000000004">
      <c r="A83" s="26">
        <v>826</v>
      </c>
      <c r="B83" s="26" t="s">
        <v>54</v>
      </c>
      <c r="C83" s="26">
        <f>VLOOKUP($A83,'SAS Data'!$1:$1048576,MATCH(C$1,'SAS Data'!$3:$3,0),FALSE)</f>
        <v>16</v>
      </c>
      <c r="D83" s="26">
        <f>VLOOKUP($A83,'SAS Data'!$1:$1048576,MATCH(D$1,'SAS Data'!$3:$3,0),FALSE)</f>
        <v>10</v>
      </c>
      <c r="E83" s="26">
        <f t="shared" si="2"/>
        <v>26</v>
      </c>
      <c r="F83" s="27">
        <f>VLOOKUP($A83,'SAS Data'!$1:$1048576,MATCH(F$1,'SAS Data'!$3:$3,0),FALSE)</f>
        <v>21.187953081733614</v>
      </c>
      <c r="G83" s="28">
        <f>VLOOKUP($A83,'SAS Data'!$1:$1048576,MATCH(G$1,'SAS Data'!$3:$3,0),FALSE)</f>
        <v>32141</v>
      </c>
      <c r="H83" s="28">
        <f>+CNA_Sample[[#This Row],[Cna Cph]]*CNA_Sample[[#This Row],[Cna Hrsn]]</f>
        <v>681002.00000000012</v>
      </c>
      <c r="I83" s="26">
        <v>13</v>
      </c>
      <c r="J83" s="29">
        <v>17</v>
      </c>
      <c r="K83" s="29">
        <v>20.079999999999998</v>
      </c>
      <c r="L83" s="29">
        <v>19.09</v>
      </c>
      <c r="M83" s="29">
        <v>18.696153846153841</v>
      </c>
      <c r="N83" s="26">
        <f>COUNTIFS('CNA Detail'!$A:$A,$A83,'CNA Detail'!$C:$C,"&lt;"&amp;L83)</f>
        <v>6</v>
      </c>
      <c r="O83" s="26">
        <f>COUNTIFS('CNA Detail'!$A:$A,$A83,'CNA Detail'!$C:$C,"&lt;"&amp;M83)</f>
        <v>6</v>
      </c>
      <c r="P83" s="26">
        <f>COUNTIFS('CNA Detail'!$A:$A,$A83,'CNA Detail'!$C:$C,"&lt;"&amp;$AD$1)</f>
        <v>13</v>
      </c>
      <c r="Q83" s="26">
        <f>COUNTIFS('CNA Detail'!$A:$A,$A83,'CNA Detail'!$C:$C,"&lt;"&amp;$AD$2)</f>
        <v>13</v>
      </c>
      <c r="R83" s="26">
        <f>COUNTIFS('CNA Detail'!$A:$A,$A83,'CNA Detail'!$C:$C,"&lt;"&amp;$AD$3)</f>
        <v>13</v>
      </c>
      <c r="S83" s="28">
        <f>+CNA_Sample[[#This Row],[CNA median]]*CNA_Sample[[#This Row],[Cna Hrsn]]</f>
        <v>613571.68999999994</v>
      </c>
      <c r="T83" s="28">
        <f>+CNA_Sample[[#This Row],[CNA average]]*CNA_Sample[[#This Row],[Cna Hrsn]]</f>
        <v>600913.08076923061</v>
      </c>
      <c r="U83" s="30">
        <f>CNA_Sample[[#This Row],[Est median wage cost ]]/CNA_Sample[[#This Row],[Cost]]</f>
        <v>0.90098368286730413</v>
      </c>
      <c r="V83" s="30">
        <f>CNA_Sample[[#This Row],[Est average wage cost]]/CNA_Sample[[#This Row],[Cost]]</f>
        <v>0.88239547133375595</v>
      </c>
      <c r="W83" s="30">
        <f>+CNA_Sample[[#This Row],[CNA min.]]/CNA_Sample[[#This Row],[CNA median]]</f>
        <v>0.89051859612362494</v>
      </c>
      <c r="X83" s="30">
        <f>+CNA_Sample[[#This Row],[CNA max]]/CNA_Sample[[#This Row],[CNA median]]</f>
        <v>1.0518596123624935</v>
      </c>
      <c r="Y83" s="26">
        <f>VLOOKUP(A83,Summary!$1:$1048576,2,FALSE)</f>
        <v>3</v>
      </c>
    </row>
    <row r="84" spans="1:25" x14ac:dyDescent="0.55000000000000004">
      <c r="A84" s="26">
        <v>828</v>
      </c>
      <c r="B84" s="26" t="s">
        <v>54</v>
      </c>
      <c r="C84" s="26">
        <f>VLOOKUP($A84,'SAS Data'!$1:$1048576,MATCH(C$1,'SAS Data'!$3:$3,0),FALSE)</f>
        <v>8</v>
      </c>
      <c r="D84" s="26">
        <f>VLOOKUP($A84,'SAS Data'!$1:$1048576,MATCH(D$1,'SAS Data'!$3:$3,0),FALSE)</f>
        <v>5</v>
      </c>
      <c r="E84" s="26">
        <f t="shared" si="2"/>
        <v>13</v>
      </c>
      <c r="F84" s="27">
        <f>VLOOKUP($A84,'SAS Data'!$1:$1048576,MATCH(F$1,'SAS Data'!$3:$3,0),FALSE)</f>
        <v>15.001938444497192</v>
      </c>
      <c r="G84" s="28">
        <f>VLOOKUP($A84,'SAS Data'!$1:$1048576,MATCH(G$1,'SAS Data'!$3:$3,0),FALSE)</f>
        <v>25278</v>
      </c>
      <c r="H84" s="28">
        <f>+CNA_Sample[[#This Row],[Cna Cph]]*CNA_Sample[[#This Row],[Cna Hrsn]]</f>
        <v>379219</v>
      </c>
      <c r="I84" s="26">
        <v>13</v>
      </c>
      <c r="J84" s="29">
        <v>15.14</v>
      </c>
      <c r="K84" s="29">
        <v>20.78</v>
      </c>
      <c r="L84" s="29">
        <v>18.11</v>
      </c>
      <c r="M84" s="29">
        <v>18.16076923076923</v>
      </c>
      <c r="N84" s="26">
        <f>COUNTIFS('CNA Detail'!$A:$A,$A84,'CNA Detail'!$C:$C,"&lt;"&amp;L84)</f>
        <v>6</v>
      </c>
      <c r="O84" s="26">
        <f>COUNTIFS('CNA Detail'!$A:$A,$A84,'CNA Detail'!$C:$C,"&lt;"&amp;M84)</f>
        <v>8</v>
      </c>
      <c r="P84" s="26">
        <f>COUNTIFS('CNA Detail'!$A:$A,$A84,'CNA Detail'!$C:$C,"&lt;"&amp;$AD$1)</f>
        <v>13</v>
      </c>
      <c r="Q84" s="26">
        <f>COUNTIFS('CNA Detail'!$A:$A,$A84,'CNA Detail'!$C:$C,"&lt;"&amp;$AD$2)</f>
        <v>11</v>
      </c>
      <c r="R84" s="26">
        <f>COUNTIFS('CNA Detail'!$A:$A,$A84,'CNA Detail'!$C:$C,"&lt;"&amp;$AD$3)</f>
        <v>11</v>
      </c>
      <c r="S84" s="28">
        <f>+CNA_Sample[[#This Row],[CNA median]]*CNA_Sample[[#This Row],[Cna Hrsn]]</f>
        <v>457784.57999999996</v>
      </c>
      <c r="T84" s="28">
        <f>+CNA_Sample[[#This Row],[CNA average]]*CNA_Sample[[#This Row],[Cna Hrsn]]</f>
        <v>459067.9246153846</v>
      </c>
      <c r="U84" s="30">
        <f>CNA_Sample[[#This Row],[Est median wage cost ]]/CNA_Sample[[#This Row],[Cost]]</f>
        <v>1.2071773302498028</v>
      </c>
      <c r="V84" s="30">
        <f>CNA_Sample[[#This Row],[Est average wage cost]]/CNA_Sample[[#This Row],[Cost]]</f>
        <v>1.2105615082983305</v>
      </c>
      <c r="W84" s="30">
        <f>+CNA_Sample[[#This Row],[CNA min.]]/CNA_Sample[[#This Row],[CNA median]]</f>
        <v>0.83600220872446163</v>
      </c>
      <c r="X84" s="30">
        <f>+CNA_Sample[[#This Row],[CNA max]]/CNA_Sample[[#This Row],[CNA median]]</f>
        <v>1.1474323578133629</v>
      </c>
      <c r="Y84" s="26">
        <f>VLOOKUP(A84,Summary!$1:$1048576,2,FALSE)</f>
        <v>3</v>
      </c>
    </row>
    <row r="85" spans="1:25" x14ac:dyDescent="0.55000000000000004">
      <c r="A85" s="26">
        <v>852</v>
      </c>
      <c r="B85" s="26" t="s">
        <v>54</v>
      </c>
      <c r="C85" s="26">
        <f>VLOOKUP($A85,'SAS Data'!$1:$1048576,MATCH(C$1,'SAS Data'!$3:$3,0),FALSE)</f>
        <v>17</v>
      </c>
      <c r="D85" s="26">
        <f>VLOOKUP($A85,'SAS Data'!$1:$1048576,MATCH(D$1,'SAS Data'!$3:$3,0),FALSE)</f>
        <v>25</v>
      </c>
      <c r="E85" s="26">
        <f t="shared" si="2"/>
        <v>42</v>
      </c>
      <c r="F85" s="27">
        <f>VLOOKUP($A85,'SAS Data'!$1:$1048576,MATCH(F$1,'SAS Data'!$3:$3,0),FALSE)</f>
        <v>26.250819404958076</v>
      </c>
      <c r="G85" s="28">
        <f>VLOOKUP($A85,'SAS Data'!$1:$1048576,MATCH(G$1,'SAS Data'!$3:$3,0),FALSE)</f>
        <v>55223</v>
      </c>
      <c r="H85" s="28">
        <f>+CNA_Sample[[#This Row],[Cna Cph]]*CNA_Sample[[#This Row],[Cna Hrsn]]</f>
        <v>1449648.9999999998</v>
      </c>
      <c r="I85" s="26">
        <v>31</v>
      </c>
      <c r="J85" s="29">
        <v>20.13</v>
      </c>
      <c r="K85" s="29">
        <v>23.94</v>
      </c>
      <c r="L85" s="29">
        <v>20.48</v>
      </c>
      <c r="M85" s="29">
        <v>21.120322580645169</v>
      </c>
      <c r="N85" s="26">
        <f>COUNTIFS('CNA Detail'!$A:$A,$A85,'CNA Detail'!$C:$C,"&lt;"&amp;L85)</f>
        <v>14</v>
      </c>
      <c r="O85" s="26">
        <f>COUNTIFS('CNA Detail'!$A:$A,$A85,'CNA Detail'!$C:$C,"&lt;"&amp;M85)</f>
        <v>23</v>
      </c>
      <c r="P85" s="26">
        <f>COUNTIFS('CNA Detail'!$A:$A,$A85,'CNA Detail'!$C:$C,"&lt;"&amp;$AD$1)</f>
        <v>31</v>
      </c>
      <c r="Q85" s="26">
        <f>COUNTIFS('CNA Detail'!$A:$A,$A85,'CNA Detail'!$C:$C,"&lt;"&amp;$AD$2)</f>
        <v>18</v>
      </c>
      <c r="R85" s="26">
        <f>COUNTIFS('CNA Detail'!$A:$A,$A85,'CNA Detail'!$C:$C,"&lt;"&amp;$AD$3)</f>
        <v>18</v>
      </c>
      <c r="S85" s="28">
        <f>+CNA_Sample[[#This Row],[CNA median]]*CNA_Sample[[#This Row],[Cna Hrsn]]</f>
        <v>1130967.04</v>
      </c>
      <c r="T85" s="28">
        <f>+CNA_Sample[[#This Row],[CNA average]]*CNA_Sample[[#This Row],[Cna Hrsn]]</f>
        <v>1166327.5738709681</v>
      </c>
      <c r="U85" s="30">
        <f>CNA_Sample[[#This Row],[Est median wage cost ]]/CNA_Sample[[#This Row],[Cost]]</f>
        <v>0.78016612297183674</v>
      </c>
      <c r="V85" s="30">
        <f>CNA_Sample[[#This Row],[Est average wage cost]]/CNA_Sample[[#This Row],[Cost]]</f>
        <v>0.80455860271760149</v>
      </c>
      <c r="W85" s="30">
        <f>+CNA_Sample[[#This Row],[CNA min.]]/CNA_Sample[[#This Row],[CNA median]]</f>
        <v>0.98291015624999989</v>
      </c>
      <c r="X85" s="30">
        <f>+CNA_Sample[[#This Row],[CNA max]]/CNA_Sample[[#This Row],[CNA median]]</f>
        <v>1.1689453125</v>
      </c>
      <c r="Y85" s="26">
        <f>VLOOKUP(A85,Summary!$1:$1048576,2,FALSE)</f>
        <v>2</v>
      </c>
    </row>
    <row r="86" spans="1:25" x14ac:dyDescent="0.55000000000000004">
      <c r="A86" s="26">
        <v>861</v>
      </c>
      <c r="B86" s="26" t="s">
        <v>54</v>
      </c>
      <c r="C86" s="26">
        <f>VLOOKUP($A86,'SAS Data'!$1:$1048576,MATCH(C$1,'SAS Data'!$3:$3,0),FALSE)</f>
        <v>29</v>
      </c>
      <c r="D86" s="26">
        <f>VLOOKUP($A86,'SAS Data'!$1:$1048576,MATCH(D$1,'SAS Data'!$3:$3,0),FALSE)</f>
        <v>12</v>
      </c>
      <c r="E86" s="26">
        <f t="shared" si="2"/>
        <v>41</v>
      </c>
      <c r="F86" s="27">
        <f>VLOOKUP($A86,'SAS Data'!$1:$1048576,MATCH(F$1,'SAS Data'!$3:$3,0),FALSE)</f>
        <v>24.472871192132406</v>
      </c>
      <c r="G86" s="28">
        <f>VLOOKUP($A86,'SAS Data'!$1:$1048576,MATCH(G$1,'SAS Data'!$3:$3,0),FALSE)</f>
        <v>62535</v>
      </c>
      <c r="H86" s="28">
        <f>+CNA_Sample[[#This Row],[Cna Cph]]*CNA_Sample[[#This Row],[Cna Hrsn]]</f>
        <v>1530411</v>
      </c>
      <c r="I86" s="26">
        <v>62</v>
      </c>
      <c r="J86" s="29">
        <v>20</v>
      </c>
      <c r="K86" s="29">
        <v>28</v>
      </c>
      <c r="L86" s="29">
        <v>24.759999999999998</v>
      </c>
      <c r="M86" s="29">
        <v>23.449838709677412</v>
      </c>
      <c r="N86" s="26">
        <f>COUNTIFS('CNA Detail'!$A:$A,$A86,'CNA Detail'!$C:$C,"&lt;"&amp;L86)</f>
        <v>31</v>
      </c>
      <c r="O86" s="26">
        <f>COUNTIFS('CNA Detail'!$A:$A,$A86,'CNA Detail'!$C:$C,"&lt;"&amp;M86)</f>
        <v>25</v>
      </c>
      <c r="P86" s="26">
        <f>COUNTIFS('CNA Detail'!$A:$A,$A86,'CNA Detail'!$C:$C,"&lt;"&amp;$AD$1)</f>
        <v>36</v>
      </c>
      <c r="Q86" s="26">
        <f>COUNTIFS('CNA Detail'!$A:$A,$A86,'CNA Detail'!$C:$C,"&lt;"&amp;$AD$2)</f>
        <v>14</v>
      </c>
      <c r="R86" s="26">
        <f>COUNTIFS('CNA Detail'!$A:$A,$A86,'CNA Detail'!$C:$C,"&lt;"&amp;$AD$3)</f>
        <v>14</v>
      </c>
      <c r="S86" s="28">
        <f>+CNA_Sample[[#This Row],[CNA median]]*CNA_Sample[[#This Row],[Cna Hrsn]]</f>
        <v>1548366.5999999999</v>
      </c>
      <c r="T86" s="28">
        <f>+CNA_Sample[[#This Row],[CNA average]]*CNA_Sample[[#This Row],[Cna Hrsn]]</f>
        <v>1466435.6637096768</v>
      </c>
      <c r="U86" s="30">
        <f>CNA_Sample[[#This Row],[Est median wage cost ]]/CNA_Sample[[#This Row],[Cost]]</f>
        <v>1.0117325345936483</v>
      </c>
      <c r="V86" s="30">
        <f>CNA_Sample[[#This Row],[Est average wage cost]]/CNA_Sample[[#This Row],[Cost]]</f>
        <v>0.95819728406923166</v>
      </c>
      <c r="W86" s="30">
        <f>+CNA_Sample[[#This Row],[CNA min.]]/CNA_Sample[[#This Row],[CNA median]]</f>
        <v>0.80775444264943463</v>
      </c>
      <c r="X86" s="30">
        <f>+CNA_Sample[[#This Row],[CNA max]]/CNA_Sample[[#This Row],[CNA median]]</f>
        <v>1.1308562197092085</v>
      </c>
      <c r="Y86" s="26">
        <f>VLOOKUP(A86,Summary!$1:$1048576,2,FALSE)</f>
        <v>3</v>
      </c>
    </row>
    <row r="87" spans="1:25" x14ac:dyDescent="0.55000000000000004">
      <c r="A87" s="26">
        <v>901</v>
      </c>
      <c r="B87" s="26" t="s">
        <v>54</v>
      </c>
      <c r="C87" s="26">
        <f>VLOOKUP($A87,'SAS Data'!$1:$1048576,MATCH(C$1,'SAS Data'!$3:$3,0),FALSE)</f>
        <v>8</v>
      </c>
      <c r="D87" s="26">
        <f>VLOOKUP($A87,'SAS Data'!$1:$1048576,MATCH(D$1,'SAS Data'!$3:$3,0),FALSE)</f>
        <v>1</v>
      </c>
      <c r="E87" s="26">
        <f t="shared" si="2"/>
        <v>9</v>
      </c>
      <c r="F87" s="27">
        <f>VLOOKUP($A87,'SAS Data'!$1:$1048576,MATCH(F$1,'SAS Data'!$3:$3,0),FALSE)</f>
        <v>24.156152380952381</v>
      </c>
      <c r="G87" s="28">
        <f>VLOOKUP($A87,'SAS Data'!$1:$1048576,MATCH(G$1,'SAS Data'!$3:$3,0),FALSE)</f>
        <v>26250</v>
      </c>
      <c r="H87" s="28">
        <f>+CNA_Sample[[#This Row],[Cna Cph]]*CNA_Sample[[#This Row],[Cna Hrsn]]</f>
        <v>634099</v>
      </c>
      <c r="I87" s="26">
        <v>10</v>
      </c>
      <c r="J87" s="29">
        <v>17.61</v>
      </c>
      <c r="K87" s="29">
        <v>21.2</v>
      </c>
      <c r="L87" s="29">
        <v>18.12</v>
      </c>
      <c r="M87" s="29">
        <v>18.809000000000005</v>
      </c>
      <c r="N87" s="26">
        <f>COUNTIFS('CNA Detail'!$A:$A,$A87,'CNA Detail'!$C:$C,"&lt;"&amp;L87)</f>
        <v>4</v>
      </c>
      <c r="O87" s="26">
        <f>COUNTIFS('CNA Detail'!$A:$A,$A87,'CNA Detail'!$C:$C,"&lt;"&amp;M87)</f>
        <v>7</v>
      </c>
      <c r="P87" s="26">
        <f>COUNTIFS('CNA Detail'!$A:$A,$A87,'CNA Detail'!$C:$C,"&lt;"&amp;$AD$1)</f>
        <v>10</v>
      </c>
      <c r="Q87" s="26">
        <f>COUNTIFS('CNA Detail'!$A:$A,$A87,'CNA Detail'!$C:$C,"&lt;"&amp;$AD$2)</f>
        <v>7</v>
      </c>
      <c r="R87" s="26">
        <f>COUNTIFS('CNA Detail'!$A:$A,$A87,'CNA Detail'!$C:$C,"&lt;"&amp;$AD$3)</f>
        <v>7</v>
      </c>
      <c r="S87" s="28">
        <f>+CNA_Sample[[#This Row],[CNA median]]*CNA_Sample[[#This Row],[Cna Hrsn]]</f>
        <v>475650</v>
      </c>
      <c r="T87" s="28">
        <f>+CNA_Sample[[#This Row],[CNA average]]*CNA_Sample[[#This Row],[Cna Hrsn]]</f>
        <v>493736.25000000012</v>
      </c>
      <c r="U87" s="30">
        <f>CNA_Sample[[#This Row],[Est median wage cost ]]/CNA_Sample[[#This Row],[Cost]]</f>
        <v>0.75011946084128822</v>
      </c>
      <c r="V87" s="30">
        <f>CNA_Sample[[#This Row],[Est average wage cost]]/CNA_Sample[[#This Row],[Cost]]</f>
        <v>0.7786422151746023</v>
      </c>
      <c r="W87" s="30">
        <f>+CNA_Sample[[#This Row],[CNA min.]]/CNA_Sample[[#This Row],[CNA median]]</f>
        <v>0.9718543046357615</v>
      </c>
      <c r="X87" s="30">
        <f>+CNA_Sample[[#This Row],[CNA max]]/CNA_Sample[[#This Row],[CNA median]]</f>
        <v>1.1699779249448123</v>
      </c>
      <c r="Y87" s="26">
        <f>VLOOKUP(A87,Summary!$1:$1048576,2,FALSE)</f>
        <v>3</v>
      </c>
    </row>
    <row r="88" spans="1:25" x14ac:dyDescent="0.55000000000000004">
      <c r="A88" s="26">
        <v>910</v>
      </c>
      <c r="B88" s="26" t="s">
        <v>54</v>
      </c>
      <c r="C88" s="26">
        <f>VLOOKUP($A88,'SAS Data'!$1:$1048576,MATCH(C$1,'SAS Data'!$3:$3,0),FALSE)</f>
        <v>19</v>
      </c>
      <c r="D88" s="26">
        <f>VLOOKUP($A88,'SAS Data'!$1:$1048576,MATCH(D$1,'SAS Data'!$3:$3,0),FALSE)</f>
        <v>23</v>
      </c>
      <c r="E88" s="26">
        <f t="shared" si="2"/>
        <v>42</v>
      </c>
      <c r="F88" s="27">
        <f>VLOOKUP($A88,'SAS Data'!$1:$1048576,MATCH(F$1,'SAS Data'!$3:$3,0),FALSE)</f>
        <v>21.976041947906158</v>
      </c>
      <c r="G88" s="28">
        <f>VLOOKUP($A88,'SAS Data'!$1:$1048576,MATCH(G$1,'SAS Data'!$3:$3,0),FALSE)</f>
        <v>70373</v>
      </c>
      <c r="H88" s="28">
        <f>+CNA_Sample[[#This Row],[Cna Cph]]*CNA_Sample[[#This Row],[Cna Hrsn]]</f>
        <v>1546520</v>
      </c>
      <c r="I88" s="26">
        <v>47</v>
      </c>
      <c r="J88" s="29">
        <v>18.040000000000006</v>
      </c>
      <c r="K88" s="29">
        <v>24.559999999999963</v>
      </c>
      <c r="L88" s="29">
        <v>19.770172280330303</v>
      </c>
      <c r="M88" s="29">
        <v>20.825201082034312</v>
      </c>
      <c r="N88" s="26">
        <f>COUNTIFS('CNA Detail'!$A:$A,$A88,'CNA Detail'!$C:$C,"&lt;"&amp;L88)</f>
        <v>23</v>
      </c>
      <c r="O88" s="26">
        <f>COUNTIFS('CNA Detail'!$A:$A,$A88,'CNA Detail'!$C:$C,"&lt;"&amp;M88)</f>
        <v>28</v>
      </c>
      <c r="P88" s="26">
        <f>COUNTIFS('CNA Detail'!$A:$A,$A88,'CNA Detail'!$C:$C,"&lt;"&amp;$AD$1)</f>
        <v>47</v>
      </c>
      <c r="Q88" s="26">
        <f>COUNTIFS('CNA Detail'!$A:$A,$A88,'CNA Detail'!$C:$C,"&lt;"&amp;$AD$2)</f>
        <v>28</v>
      </c>
      <c r="R88" s="26">
        <f>COUNTIFS('CNA Detail'!$A:$A,$A88,'CNA Detail'!$C:$C,"&lt;"&amp;$AD$3)</f>
        <v>28</v>
      </c>
      <c r="S88" s="28">
        <f>+CNA_Sample[[#This Row],[CNA median]]*CNA_Sample[[#This Row],[Cna Hrsn]]</f>
        <v>1391286.3338836844</v>
      </c>
      <c r="T88" s="28">
        <f>+CNA_Sample[[#This Row],[CNA average]]*CNA_Sample[[#This Row],[Cna Hrsn]]</f>
        <v>1465531.8757460006</v>
      </c>
      <c r="U88" s="30">
        <f>CNA_Sample[[#This Row],[Est median wage cost ]]/CNA_Sample[[#This Row],[Cost]]</f>
        <v>0.89962388710374541</v>
      </c>
      <c r="V88" s="30">
        <f>CNA_Sample[[#This Row],[Est average wage cost]]/CNA_Sample[[#This Row],[Cost]]</f>
        <v>0.9476320226999978</v>
      </c>
      <c r="W88" s="30">
        <f>+CNA_Sample[[#This Row],[CNA min.]]/CNA_Sample[[#This Row],[CNA median]]</f>
        <v>0.91248572567818864</v>
      </c>
      <c r="X88" s="30">
        <f>+CNA_Sample[[#This Row],[CNA max]]/CNA_Sample[[#This Row],[CNA median]]</f>
        <v>1.24227546688782</v>
      </c>
      <c r="Y88" s="26">
        <f>VLOOKUP(A88,Summary!$1:$1048576,2,FALSE)</f>
        <v>3</v>
      </c>
    </row>
    <row r="89" spans="1:25" x14ac:dyDescent="0.55000000000000004">
      <c r="A89" s="26">
        <v>926</v>
      </c>
      <c r="B89" s="26" t="s">
        <v>54</v>
      </c>
      <c r="C89" s="26">
        <f>VLOOKUP($A89,'SAS Data'!$1:$1048576,MATCH(C$1,'SAS Data'!$3:$3,0),FALSE)</f>
        <v>12</v>
      </c>
      <c r="D89" s="26">
        <f>VLOOKUP($A89,'SAS Data'!$1:$1048576,MATCH(D$1,'SAS Data'!$3:$3,0),FALSE)</f>
        <v>22</v>
      </c>
      <c r="E89" s="26">
        <f t="shared" si="2"/>
        <v>34</v>
      </c>
      <c r="F89" s="27">
        <f>VLOOKUP($A89,'SAS Data'!$1:$1048576,MATCH(F$1,'SAS Data'!$3:$3,0),FALSE)</f>
        <v>21.712271398873185</v>
      </c>
      <c r="G89" s="28">
        <f>VLOOKUP($A89,'SAS Data'!$1:$1048576,MATCH(G$1,'SAS Data'!$3:$3,0),FALSE)</f>
        <v>66382</v>
      </c>
      <c r="H89" s="28">
        <f>+CNA_Sample[[#This Row],[Cna Cph]]*CNA_Sample[[#This Row],[Cna Hrsn]]</f>
        <v>1441303.9999999998</v>
      </c>
      <c r="I89" s="26">
        <v>37</v>
      </c>
      <c r="J89" s="29">
        <v>16.5</v>
      </c>
      <c r="K89" s="29">
        <v>22.1</v>
      </c>
      <c r="L89" s="29">
        <v>18.79</v>
      </c>
      <c r="M89" s="29">
        <v>18.867027027027024</v>
      </c>
      <c r="N89" s="26">
        <f>COUNTIFS('CNA Detail'!$A:$A,$A89,'CNA Detail'!$C:$C,"&lt;"&amp;L89)</f>
        <v>15</v>
      </c>
      <c r="O89" s="26">
        <f>COUNTIFS('CNA Detail'!$A:$A,$A89,'CNA Detail'!$C:$C,"&lt;"&amp;M89)</f>
        <v>22</v>
      </c>
      <c r="P89" s="26">
        <f>COUNTIFS('CNA Detail'!$A:$A,$A89,'CNA Detail'!$C:$C,"&lt;"&amp;$AD$1)</f>
        <v>37</v>
      </c>
      <c r="Q89" s="26">
        <f>COUNTIFS('CNA Detail'!$A:$A,$A89,'CNA Detail'!$C:$C,"&lt;"&amp;$AD$2)</f>
        <v>36</v>
      </c>
      <c r="R89" s="26">
        <f>COUNTIFS('CNA Detail'!$A:$A,$A89,'CNA Detail'!$C:$C,"&lt;"&amp;$AD$3)</f>
        <v>36</v>
      </c>
      <c r="S89" s="28">
        <f>+CNA_Sample[[#This Row],[CNA median]]*CNA_Sample[[#This Row],[Cna Hrsn]]</f>
        <v>1247317.78</v>
      </c>
      <c r="T89" s="28">
        <f>+CNA_Sample[[#This Row],[CNA average]]*CNA_Sample[[#This Row],[Cna Hrsn]]</f>
        <v>1252430.9881081078</v>
      </c>
      <c r="U89" s="30">
        <f>CNA_Sample[[#This Row],[Est median wage cost ]]/CNA_Sample[[#This Row],[Cost]]</f>
        <v>0.86540922664476072</v>
      </c>
      <c r="V89" s="30">
        <f>CNA_Sample[[#This Row],[Est average wage cost]]/CNA_Sample[[#This Row],[Cost]]</f>
        <v>0.86895685303593695</v>
      </c>
      <c r="W89" s="30">
        <f>+CNA_Sample[[#This Row],[CNA min.]]/CNA_Sample[[#This Row],[CNA median]]</f>
        <v>0.87812666311868015</v>
      </c>
      <c r="X89" s="30">
        <f>+CNA_Sample[[#This Row],[CNA max]]/CNA_Sample[[#This Row],[CNA median]]</f>
        <v>1.1761575306013838</v>
      </c>
      <c r="Y89" s="26">
        <f>VLOOKUP(A89,Summary!$1:$1048576,2,FALSE)</f>
        <v>3</v>
      </c>
    </row>
    <row r="90" spans="1:25" x14ac:dyDescent="0.55000000000000004">
      <c r="A90" s="26">
        <v>928</v>
      </c>
      <c r="B90" s="26" t="s">
        <v>54</v>
      </c>
      <c r="C90" s="26">
        <f>VLOOKUP($A90,'SAS Data'!$1:$1048576,MATCH(C$1,'SAS Data'!$3:$3,0),FALSE)</f>
        <v>19</v>
      </c>
      <c r="D90" s="26">
        <f>VLOOKUP($A90,'SAS Data'!$1:$1048576,MATCH(D$1,'SAS Data'!$3:$3,0),FALSE)</f>
        <v>6</v>
      </c>
      <c r="E90" s="26">
        <f t="shared" si="2"/>
        <v>25</v>
      </c>
      <c r="F90" s="27">
        <f>VLOOKUP($A90,'SAS Data'!$1:$1048576,MATCH(F$1,'SAS Data'!$3:$3,0),FALSE)</f>
        <v>22.4374750499002</v>
      </c>
      <c r="G90" s="28">
        <f>VLOOKUP($A90,'SAS Data'!$1:$1048576,MATCH(G$1,'SAS Data'!$3:$3,0),FALSE)</f>
        <v>40080</v>
      </c>
      <c r="H90" s="28">
        <f>+CNA_Sample[[#This Row],[Cna Cph]]*CNA_Sample[[#This Row],[Cna Hrsn]]</f>
        <v>899294</v>
      </c>
      <c r="I90" s="26">
        <v>25</v>
      </c>
      <c r="J90" s="29">
        <v>20.05</v>
      </c>
      <c r="K90" s="29">
        <v>24.25</v>
      </c>
      <c r="L90" s="29">
        <v>22.25</v>
      </c>
      <c r="M90" s="29">
        <v>22.357999999999997</v>
      </c>
      <c r="N90" s="26">
        <f>COUNTIFS('CNA Detail'!$A:$A,$A90,'CNA Detail'!$C:$C,"&lt;"&amp;L90)</f>
        <v>12</v>
      </c>
      <c r="O90" s="26">
        <f>COUNTIFS('CNA Detail'!$A:$A,$A90,'CNA Detail'!$C:$C,"&lt;"&amp;M90)</f>
        <v>13</v>
      </c>
      <c r="P90" s="26">
        <f>COUNTIFS('CNA Detail'!$A:$A,$A90,'CNA Detail'!$C:$C,"&lt;"&amp;$AD$1)</f>
        <v>25</v>
      </c>
      <c r="Q90" s="26">
        <f>COUNTIFS('CNA Detail'!$A:$A,$A90,'CNA Detail'!$C:$C,"&lt;"&amp;$AD$2)</f>
        <v>4</v>
      </c>
      <c r="R90" s="26">
        <f>COUNTIFS('CNA Detail'!$A:$A,$A90,'CNA Detail'!$C:$C,"&lt;"&amp;$AD$3)</f>
        <v>4</v>
      </c>
      <c r="S90" s="28">
        <f>+CNA_Sample[[#This Row],[CNA median]]*CNA_Sample[[#This Row],[Cna Hrsn]]</f>
        <v>891780</v>
      </c>
      <c r="T90" s="28">
        <f>+CNA_Sample[[#This Row],[CNA average]]*CNA_Sample[[#This Row],[Cna Hrsn]]</f>
        <v>896108.6399999999</v>
      </c>
      <c r="U90" s="30">
        <f>CNA_Sample[[#This Row],[Est median wage cost ]]/CNA_Sample[[#This Row],[Cost]]</f>
        <v>0.99164455673005714</v>
      </c>
      <c r="V90" s="30">
        <f>CNA_Sample[[#This Row],[Est average wage cost]]/CNA_Sample[[#This Row],[Cost]]</f>
        <v>0.99645793255598269</v>
      </c>
      <c r="W90" s="30">
        <f>+CNA_Sample[[#This Row],[CNA min.]]/CNA_Sample[[#This Row],[CNA median]]</f>
        <v>0.90112359550561805</v>
      </c>
      <c r="X90" s="30">
        <f>+CNA_Sample[[#This Row],[CNA max]]/CNA_Sample[[#This Row],[CNA median]]</f>
        <v>1.0898876404494382</v>
      </c>
      <c r="Y90" s="26">
        <f>VLOOKUP(A90,Summary!$1:$1048576,2,FALSE)</f>
        <v>1</v>
      </c>
    </row>
    <row r="91" spans="1:25" x14ac:dyDescent="0.55000000000000004">
      <c r="A91" s="26">
        <v>951</v>
      </c>
      <c r="B91" s="26" t="s">
        <v>54</v>
      </c>
      <c r="C91" s="26">
        <f>VLOOKUP($A91,'SAS Data'!$1:$1048576,MATCH(C$1,'SAS Data'!$3:$3,0),FALSE)</f>
        <v>13</v>
      </c>
      <c r="D91" s="26">
        <f>VLOOKUP($A91,'SAS Data'!$1:$1048576,MATCH(D$1,'SAS Data'!$3:$3,0),FALSE)</f>
        <v>5</v>
      </c>
      <c r="E91" s="26">
        <f t="shared" si="2"/>
        <v>18</v>
      </c>
      <c r="F91" s="27">
        <f>VLOOKUP($A91,'SAS Data'!$1:$1048576,MATCH(F$1,'SAS Data'!$3:$3,0),FALSE)</f>
        <v>27.286213262811234</v>
      </c>
      <c r="G91" s="28">
        <f>VLOOKUP($A91,'SAS Data'!$1:$1048576,MATCH(G$1,'SAS Data'!$3:$3,0),FALSE)</f>
        <v>60123</v>
      </c>
      <c r="H91" s="28">
        <f>+CNA_Sample[[#This Row],[Cna Cph]]*CNA_Sample[[#This Row],[Cna Hrsn]]</f>
        <v>1640528.9999999998</v>
      </c>
      <c r="I91" s="26">
        <v>32</v>
      </c>
      <c r="J91" s="29">
        <v>19</v>
      </c>
      <c r="K91" s="29">
        <v>21</v>
      </c>
      <c r="L91" s="29">
        <v>19.5</v>
      </c>
      <c r="M91" s="29">
        <v>19.53125</v>
      </c>
      <c r="N91" s="26">
        <f>COUNTIFS('CNA Detail'!$A:$A,$A91,'CNA Detail'!$C:$C,"&lt;"&amp;L91)</f>
        <v>15</v>
      </c>
      <c r="O91" s="26">
        <f>COUNTIFS('CNA Detail'!$A:$A,$A91,'CNA Detail'!$C:$C,"&lt;"&amp;M91)</f>
        <v>22</v>
      </c>
      <c r="P91" s="26">
        <f>COUNTIFS('CNA Detail'!$A:$A,$A91,'CNA Detail'!$C:$C,"&lt;"&amp;$AD$1)</f>
        <v>32</v>
      </c>
      <c r="Q91" s="26">
        <f>COUNTIFS('CNA Detail'!$A:$A,$A91,'CNA Detail'!$C:$C,"&lt;"&amp;$AD$2)</f>
        <v>30</v>
      </c>
      <c r="R91" s="26">
        <f>COUNTIFS('CNA Detail'!$A:$A,$A91,'CNA Detail'!$C:$C,"&lt;"&amp;$AD$3)</f>
        <v>30</v>
      </c>
      <c r="S91" s="28">
        <f>+CNA_Sample[[#This Row],[CNA median]]*CNA_Sample[[#This Row],[Cna Hrsn]]</f>
        <v>1172398.5</v>
      </c>
      <c r="T91" s="28">
        <f>+CNA_Sample[[#This Row],[CNA average]]*CNA_Sample[[#This Row],[Cna Hrsn]]</f>
        <v>1174277.34375</v>
      </c>
      <c r="U91" s="30">
        <f>CNA_Sample[[#This Row],[Est median wage cost ]]/CNA_Sample[[#This Row],[Cost]]</f>
        <v>0.71464661703633414</v>
      </c>
      <c r="V91" s="30">
        <f>CNA_Sample[[#This Row],[Est average wage cost]]/CNA_Sample[[#This Row],[Cost]]</f>
        <v>0.7157918840508154</v>
      </c>
      <c r="W91" s="30">
        <f>+CNA_Sample[[#This Row],[CNA min.]]/CNA_Sample[[#This Row],[CNA median]]</f>
        <v>0.97435897435897434</v>
      </c>
      <c r="X91" s="30">
        <f>+CNA_Sample[[#This Row],[CNA max]]/CNA_Sample[[#This Row],[CNA median]]</f>
        <v>1.0769230769230769</v>
      </c>
      <c r="Y91" s="26">
        <f>VLOOKUP(A91,Summary!$1:$1048576,2,FALSE)</f>
        <v>2</v>
      </c>
    </row>
    <row r="92" spans="1:25" x14ac:dyDescent="0.55000000000000004">
      <c r="A92" s="26">
        <v>953</v>
      </c>
      <c r="B92" s="26" t="s">
        <v>54</v>
      </c>
      <c r="C92" s="26">
        <f>VLOOKUP($A92,'SAS Data'!$1:$1048576,MATCH(C$1,'SAS Data'!$3:$3,0),FALSE)</f>
        <v>7</v>
      </c>
      <c r="D92" s="26">
        <f>VLOOKUP($A92,'SAS Data'!$1:$1048576,MATCH(D$1,'SAS Data'!$3:$3,0),FALSE)</f>
        <v>4</v>
      </c>
      <c r="E92" s="26">
        <f t="shared" si="2"/>
        <v>11</v>
      </c>
      <c r="F92" s="27">
        <f>VLOOKUP($A92,'SAS Data'!$1:$1048576,MATCH(F$1,'SAS Data'!$3:$3,0),FALSE)</f>
        <v>23.76383234461634</v>
      </c>
      <c r="G92" s="28">
        <f>VLOOKUP($A92,'SAS Data'!$1:$1048576,MATCH(G$1,'SAS Data'!$3:$3,0),FALSE)</f>
        <v>25791</v>
      </c>
      <c r="H92" s="28">
        <f>+CNA_Sample[[#This Row],[Cna Cph]]*CNA_Sample[[#This Row],[Cna Hrsn]]</f>
        <v>612893</v>
      </c>
      <c r="I92" s="26">
        <v>15</v>
      </c>
      <c r="J92" s="29">
        <v>17.79</v>
      </c>
      <c r="K92" s="29">
        <v>22.73</v>
      </c>
      <c r="L92" s="29">
        <v>19</v>
      </c>
      <c r="M92" s="29">
        <v>19.862666666666666</v>
      </c>
      <c r="N92" s="26">
        <f>COUNTIFS('CNA Detail'!$A:$A,$A92,'CNA Detail'!$C:$C,"&lt;"&amp;L92)</f>
        <v>5</v>
      </c>
      <c r="O92" s="26">
        <f>COUNTIFS('CNA Detail'!$A:$A,$A92,'CNA Detail'!$C:$C,"&lt;"&amp;M92)</f>
        <v>9</v>
      </c>
      <c r="P92" s="26">
        <f>COUNTIFS('CNA Detail'!$A:$A,$A92,'CNA Detail'!$C:$C,"&lt;"&amp;$AD$1)</f>
        <v>15</v>
      </c>
      <c r="Q92" s="26">
        <f>COUNTIFS('CNA Detail'!$A:$A,$A92,'CNA Detail'!$C:$C,"&lt;"&amp;$AD$2)</f>
        <v>10</v>
      </c>
      <c r="R92" s="26">
        <f>COUNTIFS('CNA Detail'!$A:$A,$A92,'CNA Detail'!$C:$C,"&lt;"&amp;$AD$3)</f>
        <v>10</v>
      </c>
      <c r="S92" s="28">
        <f>+CNA_Sample[[#This Row],[CNA median]]*CNA_Sample[[#This Row],[Cna Hrsn]]</f>
        <v>490029</v>
      </c>
      <c r="T92" s="28">
        <f>+CNA_Sample[[#This Row],[CNA average]]*CNA_Sample[[#This Row],[Cna Hrsn]]</f>
        <v>512278.03599999996</v>
      </c>
      <c r="U92" s="30">
        <f>CNA_Sample[[#This Row],[Est median wage cost ]]/CNA_Sample[[#This Row],[Cost]]</f>
        <v>0.79953433959924491</v>
      </c>
      <c r="V92" s="30">
        <f>CNA_Sample[[#This Row],[Est average wage cost]]/CNA_Sample[[#This Row],[Cost]]</f>
        <v>0.83583600400069824</v>
      </c>
      <c r="W92" s="30">
        <f>+CNA_Sample[[#This Row],[CNA min.]]/CNA_Sample[[#This Row],[CNA median]]</f>
        <v>0.93631578947368421</v>
      </c>
      <c r="X92" s="30">
        <f>+CNA_Sample[[#This Row],[CNA max]]/CNA_Sample[[#This Row],[CNA median]]</f>
        <v>1.1963157894736842</v>
      </c>
      <c r="Y92" s="26">
        <f>VLOOKUP(A92,Summary!$1:$1048576,2,FALSE)</f>
        <v>3</v>
      </c>
    </row>
    <row r="93" spans="1:25" x14ac:dyDescent="0.55000000000000004">
      <c r="A93" s="26">
        <v>959</v>
      </c>
      <c r="B93" s="26" t="s">
        <v>54</v>
      </c>
      <c r="C93" s="26">
        <f>VLOOKUP($A93,'SAS Data'!$1:$1048576,MATCH(C$1,'SAS Data'!$3:$3,0),FALSE)</f>
        <v>6</v>
      </c>
      <c r="D93" s="26">
        <f>VLOOKUP($A93,'SAS Data'!$1:$1048576,MATCH(D$1,'SAS Data'!$3:$3,0),FALSE)</f>
        <v>14</v>
      </c>
      <c r="E93" s="26">
        <f t="shared" si="2"/>
        <v>20</v>
      </c>
      <c r="F93" s="27">
        <f>VLOOKUP($A93,'SAS Data'!$1:$1048576,MATCH(F$1,'SAS Data'!$3:$3,0),FALSE)</f>
        <v>39.724523305084752</v>
      </c>
      <c r="G93" s="28">
        <f>VLOOKUP($A93,'SAS Data'!$1:$1048576,MATCH(G$1,'SAS Data'!$3:$3,0),FALSE)</f>
        <v>18880</v>
      </c>
      <c r="H93" s="28">
        <f>+CNA_Sample[[#This Row],[Cna Cph]]*CNA_Sample[[#This Row],[Cna Hrsn]]</f>
        <v>749999.00000000012</v>
      </c>
      <c r="I93" s="26">
        <v>28</v>
      </c>
      <c r="J93" s="29">
        <v>19.25</v>
      </c>
      <c r="K93" s="29">
        <v>28.59</v>
      </c>
      <c r="L93" s="29">
        <v>23</v>
      </c>
      <c r="M93" s="29">
        <v>23.190714285714289</v>
      </c>
      <c r="N93" s="26">
        <f>COUNTIFS('CNA Detail'!$A:$A,$A93,'CNA Detail'!$C:$C,"&lt;"&amp;L93)</f>
        <v>13</v>
      </c>
      <c r="O93" s="26">
        <f>COUNTIFS('CNA Detail'!$A:$A,$A93,'CNA Detail'!$C:$C,"&lt;"&amp;M93)</f>
        <v>15</v>
      </c>
      <c r="P93" s="26">
        <f>COUNTIFS('CNA Detail'!$A:$A,$A93,'CNA Detail'!$C:$C,"&lt;"&amp;$AD$1)</f>
        <v>18</v>
      </c>
      <c r="Q93" s="26">
        <f>COUNTIFS('CNA Detail'!$A:$A,$A93,'CNA Detail'!$C:$C,"&lt;"&amp;$AD$2)</f>
        <v>8</v>
      </c>
      <c r="R93" s="26">
        <f>COUNTIFS('CNA Detail'!$A:$A,$A93,'CNA Detail'!$C:$C,"&lt;"&amp;$AD$3)</f>
        <v>8</v>
      </c>
      <c r="S93" s="28">
        <f>+CNA_Sample[[#This Row],[CNA median]]*CNA_Sample[[#This Row],[Cna Hrsn]]</f>
        <v>434240</v>
      </c>
      <c r="T93" s="28">
        <f>+CNA_Sample[[#This Row],[CNA average]]*CNA_Sample[[#This Row],[Cna Hrsn]]</f>
        <v>437840.68571428576</v>
      </c>
      <c r="U93" s="30">
        <f>CNA_Sample[[#This Row],[Est median wage cost ]]/CNA_Sample[[#This Row],[Cost]]</f>
        <v>0.57898743864991808</v>
      </c>
      <c r="V93" s="30">
        <f>CNA_Sample[[#This Row],[Est average wage cost]]/CNA_Sample[[#This Row],[Cost]]</f>
        <v>0.58378835933686002</v>
      </c>
      <c r="W93" s="30">
        <f>+CNA_Sample[[#This Row],[CNA min.]]/CNA_Sample[[#This Row],[CNA median]]</f>
        <v>0.83695652173913049</v>
      </c>
      <c r="X93" s="30">
        <f>+CNA_Sample[[#This Row],[CNA max]]/CNA_Sample[[#This Row],[CNA median]]</f>
        <v>1.2430434782608695</v>
      </c>
      <c r="Y93" s="26">
        <f>VLOOKUP(A93,Summary!$1:$1048576,2,FALSE)</f>
        <v>2</v>
      </c>
    </row>
    <row r="94" spans="1:25" x14ac:dyDescent="0.55000000000000004">
      <c r="A94" s="26">
        <v>962</v>
      </c>
      <c r="B94" s="26" t="s">
        <v>54</v>
      </c>
      <c r="C94" s="26">
        <f>VLOOKUP($A94,'SAS Data'!$1:$1048576,MATCH(C$1,'SAS Data'!$3:$3,0),FALSE)</f>
        <v>6</v>
      </c>
      <c r="D94" s="26">
        <f>VLOOKUP($A94,'SAS Data'!$1:$1048576,MATCH(D$1,'SAS Data'!$3:$3,0),FALSE)</f>
        <v>3</v>
      </c>
      <c r="E94" s="26">
        <f t="shared" si="2"/>
        <v>9</v>
      </c>
      <c r="F94" s="27">
        <f>VLOOKUP($A94,'SAS Data'!$1:$1048576,MATCH(F$1,'SAS Data'!$3:$3,0),FALSE)</f>
        <v>20.071512654502648</v>
      </c>
      <c r="G94" s="28">
        <f>VLOOKUP($A94,'SAS Data'!$1:$1048576,MATCH(G$1,'SAS Data'!$3:$3,0),FALSE)</f>
        <v>23786</v>
      </c>
      <c r="H94" s="28">
        <f>+CNA_Sample[[#This Row],[Cna Cph]]*CNA_Sample[[#This Row],[Cna Hrsn]]</f>
        <v>477421</v>
      </c>
      <c r="I94" s="26">
        <v>18</v>
      </c>
      <c r="J94" s="29">
        <v>16.010000000000002</v>
      </c>
      <c r="K94" s="29">
        <v>22.11</v>
      </c>
      <c r="L94" s="29">
        <v>18.89</v>
      </c>
      <c r="M94" s="29">
        <v>19.074444444444438</v>
      </c>
      <c r="N94" s="26">
        <f>COUNTIFS('CNA Detail'!$A:$A,$A94,'CNA Detail'!$C:$C,"&lt;"&amp;L94)</f>
        <v>6</v>
      </c>
      <c r="O94" s="26">
        <f>COUNTIFS('CNA Detail'!$A:$A,$A94,'CNA Detail'!$C:$C,"&lt;"&amp;M94)</f>
        <v>10</v>
      </c>
      <c r="P94" s="26">
        <f>COUNTIFS('CNA Detail'!$A:$A,$A94,'CNA Detail'!$C:$C,"&lt;"&amp;$AD$1)</f>
        <v>18</v>
      </c>
      <c r="Q94" s="26">
        <f>COUNTIFS('CNA Detail'!$A:$A,$A94,'CNA Detail'!$C:$C,"&lt;"&amp;$AD$2)</f>
        <v>11</v>
      </c>
      <c r="R94" s="26">
        <f>COUNTIFS('CNA Detail'!$A:$A,$A94,'CNA Detail'!$C:$C,"&lt;"&amp;$AD$3)</f>
        <v>12</v>
      </c>
      <c r="S94" s="28">
        <f>+CNA_Sample[[#This Row],[CNA median]]*CNA_Sample[[#This Row],[Cna Hrsn]]</f>
        <v>449317.54000000004</v>
      </c>
      <c r="T94" s="28">
        <f>+CNA_Sample[[#This Row],[CNA average]]*CNA_Sample[[#This Row],[Cna Hrsn]]</f>
        <v>453704.73555555544</v>
      </c>
      <c r="U94" s="30">
        <f>CNA_Sample[[#This Row],[Est median wage cost ]]/CNA_Sample[[#This Row],[Cost]]</f>
        <v>0.94113484744072851</v>
      </c>
      <c r="V94" s="30">
        <f>CNA_Sample[[#This Row],[Est average wage cost]]/CNA_Sample[[#This Row],[Cost]]</f>
        <v>0.95032421187077121</v>
      </c>
      <c r="W94" s="30">
        <f>+CNA_Sample[[#This Row],[CNA min.]]/CNA_Sample[[#This Row],[CNA median]]</f>
        <v>0.84753838009528859</v>
      </c>
      <c r="X94" s="30">
        <f>+CNA_Sample[[#This Row],[CNA max]]/CNA_Sample[[#This Row],[CNA median]]</f>
        <v>1.170460561143462</v>
      </c>
      <c r="Y94" s="26">
        <f>VLOOKUP(A94,Summary!$1:$1048576,2,FALSE)</f>
        <v>2</v>
      </c>
    </row>
    <row r="95" spans="1:25" x14ac:dyDescent="0.55000000000000004">
      <c r="A95" s="26">
        <v>967</v>
      </c>
      <c r="B95" s="26" t="s">
        <v>54</v>
      </c>
      <c r="C95" s="26">
        <f>VLOOKUP($A95,'SAS Data'!$1:$1048576,MATCH(C$1,'SAS Data'!$3:$3,0),FALSE)</f>
        <v>8</v>
      </c>
      <c r="D95" s="26">
        <f>VLOOKUP($A95,'SAS Data'!$1:$1048576,MATCH(D$1,'SAS Data'!$3:$3,0),FALSE)</f>
        <v>16</v>
      </c>
      <c r="E95" s="26">
        <f t="shared" si="2"/>
        <v>24</v>
      </c>
      <c r="F95" s="27">
        <f>VLOOKUP($A95,'SAS Data'!$1:$1048576,MATCH(F$1,'SAS Data'!$3:$3,0),FALSE)</f>
        <v>25.12485427400248</v>
      </c>
      <c r="G95" s="28">
        <f>VLOOKUP($A95,'SAS Data'!$1:$1048576,MATCH(G$1,'SAS Data'!$3:$3,0),FALSE)</f>
        <v>26591</v>
      </c>
      <c r="H95" s="28">
        <f>+CNA_Sample[[#This Row],[Cna Cph]]*CNA_Sample[[#This Row],[Cna Hrsn]]</f>
        <v>668095</v>
      </c>
      <c r="I95" s="26">
        <v>20</v>
      </c>
      <c r="J95" s="29">
        <v>21</v>
      </c>
      <c r="K95" s="29">
        <v>25</v>
      </c>
      <c r="L95" s="29">
        <v>21.75</v>
      </c>
      <c r="M95" s="29">
        <v>21.824999999999999</v>
      </c>
      <c r="N95" s="26">
        <f>COUNTIFS('CNA Detail'!$A:$A,$A95,'CNA Detail'!$C:$C,"&lt;"&amp;L95)</f>
        <v>10</v>
      </c>
      <c r="O95" s="26">
        <f>COUNTIFS('CNA Detail'!$A:$A,$A95,'CNA Detail'!$C:$C,"&lt;"&amp;M95)</f>
        <v>10</v>
      </c>
      <c r="P95" s="26">
        <f>COUNTIFS('CNA Detail'!$A:$A,$A95,'CNA Detail'!$C:$C,"&lt;"&amp;$AD$1)</f>
        <v>19</v>
      </c>
      <c r="Q95" s="26">
        <f>COUNTIFS('CNA Detail'!$A:$A,$A95,'CNA Detail'!$C:$C,"&lt;"&amp;$AD$2)</f>
        <v>0</v>
      </c>
      <c r="R95" s="26">
        <f>COUNTIFS('CNA Detail'!$A:$A,$A95,'CNA Detail'!$C:$C,"&lt;"&amp;$AD$3)</f>
        <v>0</v>
      </c>
      <c r="S95" s="28">
        <f>+CNA_Sample[[#This Row],[CNA median]]*CNA_Sample[[#This Row],[Cna Hrsn]]</f>
        <v>578354.25</v>
      </c>
      <c r="T95" s="28">
        <f>+CNA_Sample[[#This Row],[CNA average]]*CNA_Sample[[#This Row],[Cna Hrsn]]</f>
        <v>580348.57499999995</v>
      </c>
      <c r="U95" s="30">
        <f>CNA_Sample[[#This Row],[Est median wage cost ]]/CNA_Sample[[#This Row],[Cost]]</f>
        <v>0.86567666275005795</v>
      </c>
      <c r="V95" s="30">
        <f>CNA_Sample[[#This Row],[Est average wage cost]]/CNA_Sample[[#This Row],[Cost]]</f>
        <v>0.86866175469057538</v>
      </c>
      <c r="W95" s="30">
        <f>+CNA_Sample[[#This Row],[CNA min.]]/CNA_Sample[[#This Row],[CNA median]]</f>
        <v>0.96551724137931039</v>
      </c>
      <c r="X95" s="30">
        <f>+CNA_Sample[[#This Row],[CNA max]]/CNA_Sample[[#This Row],[CNA median]]</f>
        <v>1.1494252873563218</v>
      </c>
      <c r="Y95" s="26">
        <f>VLOOKUP(A95,Summary!$1:$1048576,2,FALSE)</f>
        <v>3</v>
      </c>
    </row>
    <row r="96" spans="1:25" x14ac:dyDescent="0.55000000000000004">
      <c r="A96" s="26">
        <v>984</v>
      </c>
      <c r="B96" s="26" t="s">
        <v>54</v>
      </c>
      <c r="C96" s="26">
        <f>VLOOKUP($A96,'SAS Data'!$1:$1048576,MATCH(C$1,'SAS Data'!$3:$3,0),FALSE)</f>
        <v>14</v>
      </c>
      <c r="D96" s="26">
        <f>VLOOKUP($A96,'SAS Data'!$1:$1048576,MATCH(D$1,'SAS Data'!$3:$3,0),FALSE)</f>
        <v>4</v>
      </c>
      <c r="E96" s="26">
        <f t="shared" si="2"/>
        <v>18</v>
      </c>
      <c r="F96" s="27">
        <f>VLOOKUP($A96,'SAS Data'!$1:$1048576,MATCH(F$1,'SAS Data'!$3:$3,0),FALSE)</f>
        <v>21.180050922742396</v>
      </c>
      <c r="G96" s="28">
        <f>VLOOKUP($A96,'SAS Data'!$1:$1048576,MATCH(G$1,'SAS Data'!$3:$3,0),FALSE)</f>
        <v>53807</v>
      </c>
      <c r="H96" s="28">
        <f>+CNA_Sample[[#This Row],[Cna Cph]]*CNA_Sample[[#This Row],[Cna Hrsn]]</f>
        <v>1139635</v>
      </c>
      <c r="I96" s="26">
        <v>74</v>
      </c>
      <c r="J96" s="29">
        <v>17.510000000000002</v>
      </c>
      <c r="K96" s="29">
        <v>23.61</v>
      </c>
      <c r="L96" s="29">
        <v>17.510000000000002</v>
      </c>
      <c r="M96" s="29">
        <v>18.181621621621616</v>
      </c>
      <c r="N96" s="26">
        <f>COUNTIFS('CNA Detail'!$A:$A,$A96,'CNA Detail'!$C:$C,"&lt;"&amp;L96)</f>
        <v>0</v>
      </c>
      <c r="O96" s="26">
        <f>COUNTIFS('CNA Detail'!$A:$A,$A96,'CNA Detail'!$C:$C,"&lt;"&amp;M96)</f>
        <v>60</v>
      </c>
      <c r="P96" s="26">
        <f>COUNTIFS('CNA Detail'!$A:$A,$A96,'CNA Detail'!$C:$C,"&lt;"&amp;$AD$1)</f>
        <v>74</v>
      </c>
      <c r="Q96" s="26">
        <f>COUNTIFS('CNA Detail'!$A:$A,$A96,'CNA Detail'!$C:$C,"&lt;"&amp;$AD$2)</f>
        <v>68</v>
      </c>
      <c r="R96" s="26">
        <f>COUNTIFS('CNA Detail'!$A:$A,$A96,'CNA Detail'!$C:$C,"&lt;"&amp;$AD$3)</f>
        <v>68</v>
      </c>
      <c r="S96" s="28">
        <f>+CNA_Sample[[#This Row],[CNA median]]*CNA_Sample[[#This Row],[Cna Hrsn]]</f>
        <v>942160.57000000007</v>
      </c>
      <c r="T96" s="28">
        <f>+CNA_Sample[[#This Row],[CNA average]]*CNA_Sample[[#This Row],[Cna Hrsn]]</f>
        <v>978298.51459459425</v>
      </c>
      <c r="U96" s="30">
        <f>CNA_Sample[[#This Row],[Est median wage cost ]]/CNA_Sample[[#This Row],[Cost]]</f>
        <v>0.82672133621729771</v>
      </c>
      <c r="V96" s="30">
        <f>CNA_Sample[[#This Row],[Est average wage cost]]/CNA_Sample[[#This Row],[Cost]]</f>
        <v>0.85843144041258324</v>
      </c>
      <c r="W96" s="30">
        <f>+CNA_Sample[[#This Row],[CNA min.]]/CNA_Sample[[#This Row],[CNA median]]</f>
        <v>1</v>
      </c>
      <c r="X96" s="30">
        <f>+CNA_Sample[[#This Row],[CNA max]]/CNA_Sample[[#This Row],[CNA median]]</f>
        <v>1.3483723586521985</v>
      </c>
      <c r="Y96" s="26">
        <f>VLOOKUP(A96,Summary!$1:$1048576,2,FALSE)</f>
        <v>2</v>
      </c>
    </row>
    <row r="97" spans="1:25" x14ac:dyDescent="0.55000000000000004">
      <c r="A97" s="26">
        <v>997</v>
      </c>
      <c r="B97" s="26" t="s">
        <v>54</v>
      </c>
      <c r="C97" s="26">
        <f>VLOOKUP($A97,'SAS Data'!$1:$1048576,MATCH(C$1,'SAS Data'!$3:$3,0),FALSE)</f>
        <v>7</v>
      </c>
      <c r="D97" s="26">
        <f>VLOOKUP($A97,'SAS Data'!$1:$1048576,MATCH(D$1,'SAS Data'!$3:$3,0),FALSE)</f>
        <v>16</v>
      </c>
      <c r="E97" s="26">
        <f t="shared" si="2"/>
        <v>23</v>
      </c>
      <c r="F97" s="27">
        <f>VLOOKUP($A97,'SAS Data'!$1:$1048576,MATCH(F$1,'SAS Data'!$3:$3,0),FALSE)</f>
        <v>24.658172282081981</v>
      </c>
      <c r="G97" s="28">
        <f>VLOOKUP($A97,'SAS Data'!$1:$1048576,MATCH(G$1,'SAS Data'!$3:$3,0),FALSE)</f>
        <v>17541</v>
      </c>
      <c r="H97" s="28">
        <f>+CNA_Sample[[#This Row],[Cna Cph]]*CNA_Sample[[#This Row],[Cna Hrsn]]</f>
        <v>432529.00000000006</v>
      </c>
      <c r="I97" s="26">
        <v>17</v>
      </c>
      <c r="J97" s="29">
        <v>15.50404</v>
      </c>
      <c r="K97" s="29">
        <v>24.794039999999999</v>
      </c>
      <c r="L97" s="29">
        <v>22.00404</v>
      </c>
      <c r="M97" s="29">
        <v>21.294628235294113</v>
      </c>
      <c r="N97" s="26">
        <f>COUNTIFS('CNA Detail'!$A:$A,$A97,'CNA Detail'!$C:$C,"&lt;"&amp;L97)</f>
        <v>5</v>
      </c>
      <c r="O97" s="26">
        <f>COUNTIFS('CNA Detail'!$A:$A,$A97,'CNA Detail'!$C:$C,"&lt;"&amp;M97)</f>
        <v>5</v>
      </c>
      <c r="P97" s="26">
        <f>COUNTIFS('CNA Detail'!$A:$A,$A97,'CNA Detail'!$C:$C,"&lt;"&amp;$AD$1)</f>
        <v>17</v>
      </c>
      <c r="Q97" s="26">
        <f>COUNTIFS('CNA Detail'!$A:$A,$A97,'CNA Detail'!$C:$C,"&lt;"&amp;$AD$2)</f>
        <v>5</v>
      </c>
      <c r="R97" s="26">
        <f>COUNTIFS('CNA Detail'!$A:$A,$A97,'CNA Detail'!$C:$C,"&lt;"&amp;$AD$3)</f>
        <v>5</v>
      </c>
      <c r="S97" s="28">
        <f>+CNA_Sample[[#This Row],[CNA median]]*CNA_Sample[[#This Row],[Cna Hrsn]]</f>
        <v>385972.86563999997</v>
      </c>
      <c r="T97" s="28">
        <f>+CNA_Sample[[#This Row],[CNA average]]*CNA_Sample[[#This Row],[Cna Hrsn]]</f>
        <v>373529.07387529401</v>
      </c>
      <c r="U97" s="30">
        <f>CNA_Sample[[#This Row],[Est median wage cost ]]/CNA_Sample[[#This Row],[Cost]]</f>
        <v>0.89236297598542502</v>
      </c>
      <c r="V97" s="30">
        <f>CNA_Sample[[#This Row],[Est average wage cost]]/CNA_Sample[[#This Row],[Cost]]</f>
        <v>0.86359313219528389</v>
      </c>
      <c r="W97" s="30">
        <f>+CNA_Sample[[#This Row],[CNA min.]]/CNA_Sample[[#This Row],[CNA median]]</f>
        <v>0.70459970078222001</v>
      </c>
      <c r="X97" s="30">
        <f>+CNA_Sample[[#This Row],[CNA max]]/CNA_Sample[[#This Row],[CNA median]]</f>
        <v>1.126794897664247</v>
      </c>
      <c r="Y97" s="26">
        <f>VLOOKUP(A97,Summary!$1:$1048576,2,FALSE)</f>
        <v>1</v>
      </c>
    </row>
    <row r="98" spans="1:25" x14ac:dyDescent="0.55000000000000004">
      <c r="C98" s="26">
        <f>SUBTOTAL(109,CNA_Sample[Ftempcna])</f>
        <v>1362</v>
      </c>
      <c r="D98" s="26">
        <f>SUBTOTAL(109,CNA_Sample[Ptempcna])</f>
        <v>1120</v>
      </c>
      <c r="E98" s="26">
        <f>SUBTOTAL(109,CNA_Sample[Total employees per CR])</f>
        <v>2482</v>
      </c>
      <c r="F98" s="32">
        <f>CNA_Sample[[#Totals],[Cost]]/CNA_Sample[[#Totals],[Cna Hrsn]]</f>
        <v>23.268288364612324</v>
      </c>
      <c r="G98" s="33">
        <f>SUBTOTAL(109,CNA_Sample[Cna Hrsn])</f>
        <v>4230422</v>
      </c>
      <c r="H98" s="33">
        <f>SUBTOTAL(109,CNA_Sample[Cost])</f>
        <v>98434679</v>
      </c>
      <c r="I98" s="26">
        <f>SUBTOTAL(109,CNA_Sample[CNA count Per Data Sample])</f>
        <v>3005</v>
      </c>
      <c r="J98" s="34">
        <f>SUBTOTAL(101,CNA_Sample[CNA min.])</f>
        <v>18.124999324416596</v>
      </c>
      <c r="K98" s="34">
        <f>SUBTOTAL(101,CNA_Sample[CNA max])</f>
        <v>23.952801491076546</v>
      </c>
      <c r="L98" s="34">
        <f>SUBTOTAL(101,CNA_Sample[CNA median])</f>
        <v>20.279120476614736</v>
      </c>
      <c r="M98" s="34">
        <f>SUBTOTAL(101,CNA_Sample[CNA average])</f>
        <v>20.500369917285152</v>
      </c>
      <c r="N98" s="33">
        <f>SUBTOTAL(109,CNA_Sample[Below median])</f>
        <v>1270</v>
      </c>
      <c r="O98" s="33">
        <f>SUBTOTAL(109,CNA_Sample[Below Average])</f>
        <v>1727</v>
      </c>
      <c r="P98" s="33">
        <f>SUBTOTAL(109,CNA_Sample[Below Floor])</f>
        <v>2808</v>
      </c>
      <c r="Q98" s="33">
        <f>SUBTOTAL(109,CNA_Sample[Below weighted average median wage])</f>
        <v>1620</v>
      </c>
      <c r="R98" s="33">
        <f>SUBTOTAL(109,CNA_Sample[Below weighted average, average wage])</f>
        <v>1684</v>
      </c>
      <c r="S98" s="33">
        <f>SUBTOTAL(109,CNA_Sample[[Est median wage cost ]])</f>
        <v>86992797.998412848</v>
      </c>
      <c r="T98" s="33">
        <f>SUBTOTAL(109,CNA_Sample[Est average wage cost])</f>
        <v>87884061.262307912</v>
      </c>
      <c r="U98" s="35">
        <f>+CNA_Sample[[#Totals],[Est median wage cost ]]/CNA_Sample[[#Totals],[Cost]]</f>
        <v>0.88376168726483928</v>
      </c>
      <c r="V98" s="35">
        <f>+CNA_Sample[[#Totals],[Est average wage cost]]/CNA_Sample[[#Totals],[Cost]]</f>
        <v>0.89281604974104611</v>
      </c>
      <c r="W98" s="36">
        <f>+CNA_Sample[[#Totals],[CNA min.]]/CNA_Sample[[#Totals],[CNA median]]</f>
        <v>0.89377640146266668</v>
      </c>
      <c r="X98" s="36">
        <f>+CNA_Sample[[#Totals],[CNA max]]/CNA_Sample[[#Totals],[CNA median]]</f>
        <v>1.1811558355648701</v>
      </c>
    </row>
    <row r="100" spans="1:25" x14ac:dyDescent="0.55000000000000004">
      <c r="H100" s="29" t="s">
        <v>88</v>
      </c>
      <c r="I100" s="26">
        <f>SUM(I2:I97)</f>
        <v>3005</v>
      </c>
      <c r="N100" s="26">
        <f t="shared" ref="N100:R100" si="3">SUM(N2:N97)</f>
        <v>1270</v>
      </c>
      <c r="O100" s="26">
        <f t="shared" si="3"/>
        <v>1727</v>
      </c>
      <c r="P100" s="26">
        <f t="shared" si="3"/>
        <v>2808</v>
      </c>
      <c r="Q100" s="26">
        <f t="shared" si="3"/>
        <v>1620</v>
      </c>
      <c r="R100" s="26">
        <f t="shared" si="3"/>
        <v>1684</v>
      </c>
    </row>
    <row r="101" spans="1:25" x14ac:dyDescent="0.55000000000000004">
      <c r="H101" s="29">
        <v>1</v>
      </c>
      <c r="I101" s="26">
        <f>SUMIF($Y$2:$Y$97,$H101,I$2:I$97)</f>
        <v>525</v>
      </c>
      <c r="N101" s="26">
        <f t="shared" ref="N101:R103" si="4">SUMIF($Y$2:$Y$97,$H101,N$2:N$97)</f>
        <v>224</v>
      </c>
      <c r="O101" s="26">
        <f t="shared" si="4"/>
        <v>319</v>
      </c>
      <c r="P101" s="26">
        <f>SUMIF($Y$2:$Y$97,$H101,P$2:P$97)</f>
        <v>502</v>
      </c>
      <c r="Q101" s="26">
        <f t="shared" si="4"/>
        <v>360</v>
      </c>
      <c r="R101" s="26">
        <f t="shared" si="4"/>
        <v>372</v>
      </c>
    </row>
    <row r="102" spans="1:25" x14ac:dyDescent="0.55000000000000004">
      <c r="H102" s="29">
        <v>2</v>
      </c>
      <c r="I102" s="26">
        <f>SUMIF($Y$2:$Y$97,$H102,I$2:I$97)</f>
        <v>1081</v>
      </c>
      <c r="N102" s="26">
        <f t="shared" si="4"/>
        <v>448</v>
      </c>
      <c r="O102" s="26">
        <f t="shared" si="4"/>
        <v>651</v>
      </c>
      <c r="P102" s="26">
        <f t="shared" si="4"/>
        <v>1025</v>
      </c>
      <c r="Q102" s="26">
        <f t="shared" si="4"/>
        <v>675</v>
      </c>
      <c r="R102" s="26">
        <f t="shared" si="4"/>
        <v>689</v>
      </c>
    </row>
    <row r="103" spans="1:25" x14ac:dyDescent="0.55000000000000004">
      <c r="H103" s="29">
        <v>3</v>
      </c>
      <c r="I103" s="26">
        <f>SUMIF($Y$2:$Y$97,$H103,I$2:I$97)</f>
        <v>1399</v>
      </c>
      <c r="N103" s="26">
        <f t="shared" si="4"/>
        <v>598</v>
      </c>
      <c r="O103" s="26">
        <f t="shared" si="4"/>
        <v>757</v>
      </c>
      <c r="P103" s="26">
        <f t="shared" si="4"/>
        <v>1281</v>
      </c>
      <c r="Q103" s="26">
        <f t="shared" si="4"/>
        <v>585</v>
      </c>
      <c r="R103" s="26">
        <f t="shared" si="4"/>
        <v>623</v>
      </c>
    </row>
  </sheetData>
  <sheetProtection algorithmName="SHA-512" hashValue="yctWQ/XD4qf9mwXpV+c1dAjZbCKMmvJL2YoznP3x29gTRJwuREcjotRstAGDu+c9/xaon0Lfhs9YY5dB9oD5ZA==" saltValue="RHSUlJEJF1a7qEBWmkadDw==" spinCount="100000" sheet="1" objects="1" scenarios="1" selectLockedCells="1" selectUn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7ECF-ADD5-4DEF-BAC5-5AA71191283B}">
  <dimension ref="A1:C3006"/>
  <sheetViews>
    <sheetView topLeftCell="A2973" workbookViewId="0">
      <selection activeCell="A2973" sqref="A1:XFD1048576"/>
    </sheetView>
  </sheetViews>
  <sheetFormatPr defaultColWidth="9.15625" defaultRowHeight="14.4" x14ac:dyDescent="0.55000000000000004"/>
  <cols>
    <col min="1" max="16384" width="9.15625" style="68"/>
  </cols>
  <sheetData>
    <row r="1" spans="1:3" x14ac:dyDescent="0.55000000000000004">
      <c r="A1" s="68" t="s">
        <v>13</v>
      </c>
      <c r="C1" s="68" t="s">
        <v>89</v>
      </c>
    </row>
    <row r="2" spans="1:3" x14ac:dyDescent="0.55000000000000004">
      <c r="A2" s="68">
        <v>728</v>
      </c>
      <c r="C2" s="68">
        <v>22.25</v>
      </c>
    </row>
    <row r="3" spans="1:3" x14ac:dyDescent="0.55000000000000004">
      <c r="A3" s="68">
        <v>728</v>
      </c>
      <c r="C3" s="68">
        <v>21.75</v>
      </c>
    </row>
    <row r="4" spans="1:3" x14ac:dyDescent="0.55000000000000004">
      <c r="A4" s="68">
        <v>728</v>
      </c>
      <c r="C4" s="68">
        <v>22.5</v>
      </c>
    </row>
    <row r="5" spans="1:3" x14ac:dyDescent="0.55000000000000004">
      <c r="A5" s="68">
        <v>728</v>
      </c>
      <c r="C5" s="68">
        <v>20.25</v>
      </c>
    </row>
    <row r="6" spans="1:3" x14ac:dyDescent="0.55000000000000004">
      <c r="A6" s="68">
        <v>728</v>
      </c>
      <c r="C6" s="68">
        <v>22.5</v>
      </c>
    </row>
    <row r="7" spans="1:3" x14ac:dyDescent="0.55000000000000004">
      <c r="A7" s="68">
        <v>728</v>
      </c>
      <c r="C7" s="68">
        <v>20.25</v>
      </c>
    </row>
    <row r="8" spans="1:3" x14ac:dyDescent="0.55000000000000004">
      <c r="A8" s="68">
        <v>788</v>
      </c>
      <c r="C8" s="68">
        <v>19.170000000000002</v>
      </c>
    </row>
    <row r="9" spans="1:3" x14ac:dyDescent="0.55000000000000004">
      <c r="A9" s="68">
        <v>788</v>
      </c>
      <c r="C9" s="68">
        <v>19.7</v>
      </c>
    </row>
    <row r="10" spans="1:3" x14ac:dyDescent="0.55000000000000004">
      <c r="A10" s="68">
        <v>788</v>
      </c>
      <c r="C10" s="68">
        <v>19.23</v>
      </c>
    </row>
    <row r="11" spans="1:3" x14ac:dyDescent="0.55000000000000004">
      <c r="A11" s="68">
        <v>788</v>
      </c>
      <c r="C11" s="68">
        <v>19</v>
      </c>
    </row>
    <row r="12" spans="1:3" x14ac:dyDescent="0.55000000000000004">
      <c r="A12" s="68">
        <v>788</v>
      </c>
      <c r="C12" s="68">
        <v>19</v>
      </c>
    </row>
    <row r="13" spans="1:3" x14ac:dyDescent="0.55000000000000004">
      <c r="A13" s="68">
        <v>788</v>
      </c>
      <c r="C13" s="68">
        <v>19.03</v>
      </c>
    </row>
    <row r="14" spans="1:3" x14ac:dyDescent="0.55000000000000004">
      <c r="A14" s="68">
        <v>788</v>
      </c>
      <c r="C14" s="68">
        <v>20.079999999999998</v>
      </c>
    </row>
    <row r="15" spans="1:3" x14ac:dyDescent="0.55000000000000004">
      <c r="A15" s="68">
        <v>788</v>
      </c>
      <c r="C15" s="68">
        <v>20.75</v>
      </c>
    </row>
    <row r="16" spans="1:3" x14ac:dyDescent="0.55000000000000004">
      <c r="A16" s="68">
        <v>788</v>
      </c>
      <c r="C16" s="68">
        <v>20.75</v>
      </c>
    </row>
    <row r="17" spans="1:3" x14ac:dyDescent="0.55000000000000004">
      <c r="A17" s="68">
        <v>788</v>
      </c>
      <c r="C17" s="68">
        <v>19</v>
      </c>
    </row>
    <row r="18" spans="1:3" x14ac:dyDescent="0.55000000000000004">
      <c r="A18" s="68">
        <v>788</v>
      </c>
      <c r="C18" s="68">
        <v>19.899999999999999</v>
      </c>
    </row>
    <row r="19" spans="1:3" x14ac:dyDescent="0.55000000000000004">
      <c r="A19" s="68">
        <v>788</v>
      </c>
      <c r="C19" s="68">
        <v>19.03</v>
      </c>
    </row>
    <row r="20" spans="1:3" x14ac:dyDescent="0.55000000000000004">
      <c r="A20" s="68">
        <v>788</v>
      </c>
      <c r="C20" s="68">
        <v>19.36</v>
      </c>
    </row>
    <row r="21" spans="1:3" x14ac:dyDescent="0.55000000000000004">
      <c r="A21" s="68">
        <v>788</v>
      </c>
      <c r="C21" s="68">
        <v>19.079999999999998</v>
      </c>
    </row>
    <row r="22" spans="1:3" x14ac:dyDescent="0.55000000000000004">
      <c r="A22" s="68">
        <v>788</v>
      </c>
      <c r="C22" s="68">
        <v>19</v>
      </c>
    </row>
    <row r="23" spans="1:3" x14ac:dyDescent="0.55000000000000004">
      <c r="A23" s="68">
        <v>788</v>
      </c>
      <c r="C23" s="68">
        <v>19.170000000000002</v>
      </c>
    </row>
    <row r="24" spans="1:3" x14ac:dyDescent="0.55000000000000004">
      <c r="A24" s="68">
        <v>788</v>
      </c>
      <c r="C24" s="68">
        <v>19.079999999999998</v>
      </c>
    </row>
    <row r="25" spans="1:3" x14ac:dyDescent="0.55000000000000004">
      <c r="A25" s="68">
        <v>788</v>
      </c>
      <c r="C25" s="68">
        <v>19.64</v>
      </c>
    </row>
    <row r="26" spans="1:3" x14ac:dyDescent="0.55000000000000004">
      <c r="A26" s="68">
        <v>788</v>
      </c>
      <c r="C26" s="68">
        <v>19.350000000000001</v>
      </c>
    </row>
    <row r="27" spans="1:3" x14ac:dyDescent="0.55000000000000004">
      <c r="A27" s="68">
        <v>788</v>
      </c>
      <c r="C27" s="68">
        <v>19.22</v>
      </c>
    </row>
    <row r="28" spans="1:3" x14ac:dyDescent="0.55000000000000004">
      <c r="A28" s="68">
        <v>788</v>
      </c>
      <c r="C28" s="68">
        <v>19.7</v>
      </c>
    </row>
    <row r="29" spans="1:3" x14ac:dyDescent="0.55000000000000004">
      <c r="A29" s="68">
        <v>788</v>
      </c>
      <c r="C29" s="68">
        <v>19.260000000000002</v>
      </c>
    </row>
    <row r="30" spans="1:3" x14ac:dyDescent="0.55000000000000004">
      <c r="A30" s="68">
        <v>788</v>
      </c>
      <c r="C30" s="68">
        <v>19.73</v>
      </c>
    </row>
    <row r="31" spans="1:3" x14ac:dyDescent="0.55000000000000004">
      <c r="A31" s="68">
        <v>788</v>
      </c>
      <c r="C31" s="68">
        <v>19</v>
      </c>
    </row>
    <row r="32" spans="1:3" x14ac:dyDescent="0.55000000000000004">
      <c r="A32" s="68">
        <v>788</v>
      </c>
      <c r="C32" s="68">
        <v>19</v>
      </c>
    </row>
    <row r="33" spans="1:3" x14ac:dyDescent="0.55000000000000004">
      <c r="A33" s="68">
        <v>145</v>
      </c>
      <c r="C33" s="68">
        <v>19</v>
      </c>
    </row>
    <row r="34" spans="1:3" x14ac:dyDescent="0.55000000000000004">
      <c r="A34" s="68">
        <v>145</v>
      </c>
      <c r="C34" s="68">
        <v>19.059999999999999</v>
      </c>
    </row>
    <row r="35" spans="1:3" x14ac:dyDescent="0.55000000000000004">
      <c r="A35" s="68">
        <v>145</v>
      </c>
      <c r="C35" s="68">
        <v>20.49</v>
      </c>
    </row>
    <row r="36" spans="1:3" x14ac:dyDescent="0.55000000000000004">
      <c r="A36" s="68">
        <v>145</v>
      </c>
      <c r="C36" s="68">
        <v>22.3</v>
      </c>
    </row>
    <row r="37" spans="1:3" x14ac:dyDescent="0.55000000000000004">
      <c r="A37" s="68">
        <v>145</v>
      </c>
      <c r="C37" s="68">
        <v>22.39</v>
      </c>
    </row>
    <row r="38" spans="1:3" x14ac:dyDescent="0.55000000000000004">
      <c r="A38" s="68">
        <v>145</v>
      </c>
      <c r="C38" s="68">
        <v>23.16</v>
      </c>
    </row>
    <row r="39" spans="1:3" x14ac:dyDescent="0.55000000000000004">
      <c r="A39" s="68">
        <v>145</v>
      </c>
      <c r="C39" s="68">
        <v>23.2</v>
      </c>
    </row>
    <row r="40" spans="1:3" x14ac:dyDescent="0.55000000000000004">
      <c r="A40" s="68">
        <v>145</v>
      </c>
      <c r="C40" s="68">
        <v>23.3</v>
      </c>
    </row>
    <row r="41" spans="1:3" x14ac:dyDescent="0.55000000000000004">
      <c r="A41" s="68">
        <v>145</v>
      </c>
      <c r="C41" s="68">
        <v>23.7</v>
      </c>
    </row>
    <row r="42" spans="1:3" x14ac:dyDescent="0.55000000000000004">
      <c r="A42" s="68">
        <v>145</v>
      </c>
      <c r="C42" s="68">
        <v>23.7</v>
      </c>
    </row>
    <row r="43" spans="1:3" x14ac:dyDescent="0.55000000000000004">
      <c r="A43" s="68">
        <v>145</v>
      </c>
      <c r="C43" s="68">
        <v>24.4</v>
      </c>
    </row>
    <row r="44" spans="1:3" x14ac:dyDescent="0.55000000000000004">
      <c r="A44" s="68">
        <v>145</v>
      </c>
      <c r="C44" s="68">
        <v>24.64</v>
      </c>
    </row>
    <row r="45" spans="1:3" x14ac:dyDescent="0.55000000000000004">
      <c r="A45" s="68">
        <v>145</v>
      </c>
      <c r="C45" s="68">
        <v>24.64</v>
      </c>
    </row>
    <row r="46" spans="1:3" x14ac:dyDescent="0.55000000000000004">
      <c r="A46" s="68">
        <v>145</v>
      </c>
      <c r="C46" s="68">
        <v>25</v>
      </c>
    </row>
    <row r="47" spans="1:3" x14ac:dyDescent="0.55000000000000004">
      <c r="A47" s="68">
        <v>145</v>
      </c>
      <c r="C47" s="68">
        <v>25</v>
      </c>
    </row>
    <row r="48" spans="1:3" x14ac:dyDescent="0.55000000000000004">
      <c r="A48" s="68">
        <v>145</v>
      </c>
      <c r="C48" s="68">
        <v>25</v>
      </c>
    </row>
    <row r="49" spans="1:3" x14ac:dyDescent="0.55000000000000004">
      <c r="A49" s="68">
        <v>145</v>
      </c>
      <c r="C49" s="68">
        <v>25</v>
      </c>
    </row>
    <row r="50" spans="1:3" x14ac:dyDescent="0.55000000000000004">
      <c r="A50" s="68">
        <v>145</v>
      </c>
      <c r="C50" s="68">
        <v>25</v>
      </c>
    </row>
    <row r="51" spans="1:3" x14ac:dyDescent="0.55000000000000004">
      <c r="A51" s="68">
        <v>145</v>
      </c>
      <c r="C51" s="68">
        <v>25</v>
      </c>
    </row>
    <row r="52" spans="1:3" x14ac:dyDescent="0.55000000000000004">
      <c r="A52" s="68">
        <v>145</v>
      </c>
      <c r="C52" s="68">
        <v>25</v>
      </c>
    </row>
    <row r="53" spans="1:3" x14ac:dyDescent="0.55000000000000004">
      <c r="A53" s="68">
        <v>145</v>
      </c>
      <c r="C53" s="68">
        <v>25</v>
      </c>
    </row>
    <row r="54" spans="1:3" x14ac:dyDescent="0.55000000000000004">
      <c r="A54" s="68">
        <v>145</v>
      </c>
      <c r="C54" s="68">
        <v>25</v>
      </c>
    </row>
    <row r="55" spans="1:3" x14ac:dyDescent="0.55000000000000004">
      <c r="A55" s="68">
        <v>145</v>
      </c>
      <c r="C55" s="68">
        <v>25</v>
      </c>
    </row>
    <row r="56" spans="1:3" x14ac:dyDescent="0.55000000000000004">
      <c r="A56" s="68">
        <v>145</v>
      </c>
      <c r="C56" s="68">
        <v>25</v>
      </c>
    </row>
    <row r="57" spans="1:3" x14ac:dyDescent="0.55000000000000004">
      <c r="A57" s="68">
        <v>145</v>
      </c>
      <c r="C57" s="68">
        <v>25</v>
      </c>
    </row>
    <row r="58" spans="1:3" x14ac:dyDescent="0.55000000000000004">
      <c r="A58" s="68">
        <v>145</v>
      </c>
      <c r="C58" s="68">
        <v>25</v>
      </c>
    </row>
    <row r="59" spans="1:3" x14ac:dyDescent="0.55000000000000004">
      <c r="A59" s="68">
        <v>145</v>
      </c>
      <c r="C59" s="68">
        <v>25</v>
      </c>
    </row>
    <row r="60" spans="1:3" x14ac:dyDescent="0.55000000000000004">
      <c r="A60" s="68">
        <v>145</v>
      </c>
      <c r="C60" s="68">
        <v>25.1</v>
      </c>
    </row>
    <row r="61" spans="1:3" x14ac:dyDescent="0.55000000000000004">
      <c r="A61" s="68">
        <v>145</v>
      </c>
      <c r="C61" s="68">
        <v>25.1</v>
      </c>
    </row>
    <row r="62" spans="1:3" x14ac:dyDescent="0.55000000000000004">
      <c r="A62" s="68">
        <v>145</v>
      </c>
      <c r="C62" s="68">
        <v>25.14</v>
      </c>
    </row>
    <row r="63" spans="1:3" x14ac:dyDescent="0.55000000000000004">
      <c r="A63" s="68">
        <v>145</v>
      </c>
      <c r="C63" s="68">
        <v>25.14</v>
      </c>
    </row>
    <row r="64" spans="1:3" x14ac:dyDescent="0.55000000000000004">
      <c r="A64" s="68">
        <v>145</v>
      </c>
      <c r="C64" s="68">
        <v>25.141999999999999</v>
      </c>
    </row>
    <row r="65" spans="1:3" x14ac:dyDescent="0.55000000000000004">
      <c r="A65" s="68">
        <v>145</v>
      </c>
      <c r="C65" s="68">
        <v>25.143000000000001</v>
      </c>
    </row>
    <row r="66" spans="1:3" x14ac:dyDescent="0.55000000000000004">
      <c r="A66" s="68">
        <v>145</v>
      </c>
      <c r="C66" s="68">
        <v>25.37</v>
      </c>
    </row>
    <row r="67" spans="1:3" x14ac:dyDescent="0.55000000000000004">
      <c r="A67" s="68">
        <v>145</v>
      </c>
      <c r="C67" s="68">
        <v>25.37</v>
      </c>
    </row>
    <row r="68" spans="1:3" x14ac:dyDescent="0.55000000000000004">
      <c r="A68" s="68">
        <v>145</v>
      </c>
      <c r="C68" s="68">
        <v>25.38</v>
      </c>
    </row>
    <row r="69" spans="1:3" x14ac:dyDescent="0.55000000000000004">
      <c r="A69" s="68">
        <v>145</v>
      </c>
      <c r="C69" s="68">
        <v>25.38</v>
      </c>
    </row>
    <row r="70" spans="1:3" x14ac:dyDescent="0.55000000000000004">
      <c r="A70" s="68">
        <v>145</v>
      </c>
      <c r="C70" s="68">
        <v>25.69</v>
      </c>
    </row>
    <row r="71" spans="1:3" x14ac:dyDescent="0.55000000000000004">
      <c r="A71" s="68">
        <v>145</v>
      </c>
      <c r="C71" s="68">
        <v>25.8</v>
      </c>
    </row>
    <row r="72" spans="1:3" x14ac:dyDescent="0.55000000000000004">
      <c r="A72" s="68">
        <v>145</v>
      </c>
      <c r="C72" s="68">
        <v>25.8</v>
      </c>
    </row>
    <row r="73" spans="1:3" x14ac:dyDescent="0.55000000000000004">
      <c r="A73" s="68">
        <v>145</v>
      </c>
      <c r="C73" s="68">
        <v>26.1</v>
      </c>
    </row>
    <row r="74" spans="1:3" x14ac:dyDescent="0.55000000000000004">
      <c r="A74" s="68">
        <v>145</v>
      </c>
      <c r="C74" s="68">
        <v>26.1</v>
      </c>
    </row>
    <row r="75" spans="1:3" x14ac:dyDescent="0.55000000000000004">
      <c r="A75" s="68">
        <v>145</v>
      </c>
      <c r="C75" s="68">
        <v>26.14</v>
      </c>
    </row>
    <row r="76" spans="1:3" x14ac:dyDescent="0.55000000000000004">
      <c r="A76" s="68">
        <v>145</v>
      </c>
      <c r="C76" s="68">
        <v>26.14</v>
      </c>
    </row>
    <row r="77" spans="1:3" x14ac:dyDescent="0.55000000000000004">
      <c r="A77" s="68">
        <v>145</v>
      </c>
      <c r="C77" s="68">
        <v>26.5</v>
      </c>
    </row>
    <row r="78" spans="1:3" x14ac:dyDescent="0.55000000000000004">
      <c r="A78" s="68">
        <v>145</v>
      </c>
      <c r="C78" s="68">
        <v>27.56</v>
      </c>
    </row>
    <row r="79" spans="1:3" x14ac:dyDescent="0.55000000000000004">
      <c r="A79" s="68">
        <v>145</v>
      </c>
      <c r="C79" s="68">
        <v>27.7</v>
      </c>
    </row>
    <row r="80" spans="1:3" x14ac:dyDescent="0.55000000000000004">
      <c r="A80" s="68">
        <v>145</v>
      </c>
      <c r="C80" s="68">
        <v>27.7</v>
      </c>
    </row>
    <row r="81" spans="1:3" x14ac:dyDescent="0.55000000000000004">
      <c r="A81" s="68">
        <v>145</v>
      </c>
      <c r="C81" s="68">
        <v>27.7</v>
      </c>
    </row>
    <row r="82" spans="1:3" x14ac:dyDescent="0.55000000000000004">
      <c r="A82" s="68">
        <v>145</v>
      </c>
      <c r="C82" s="68">
        <v>28.53</v>
      </c>
    </row>
    <row r="83" spans="1:3" x14ac:dyDescent="0.55000000000000004">
      <c r="A83" s="68">
        <v>145</v>
      </c>
      <c r="C83" s="68">
        <v>28.53</v>
      </c>
    </row>
    <row r="84" spans="1:3" x14ac:dyDescent="0.55000000000000004">
      <c r="A84" s="68">
        <v>145</v>
      </c>
      <c r="C84" s="68">
        <v>28.53</v>
      </c>
    </row>
    <row r="85" spans="1:3" x14ac:dyDescent="0.55000000000000004">
      <c r="A85" s="68">
        <v>145</v>
      </c>
      <c r="C85" s="68">
        <v>28.8</v>
      </c>
    </row>
    <row r="86" spans="1:3" x14ac:dyDescent="0.55000000000000004">
      <c r="A86" s="68">
        <v>145</v>
      </c>
      <c r="C86" s="68">
        <v>29.22</v>
      </c>
    </row>
    <row r="87" spans="1:3" x14ac:dyDescent="0.55000000000000004">
      <c r="A87" s="68">
        <v>145</v>
      </c>
      <c r="C87" s="68">
        <v>29.38</v>
      </c>
    </row>
    <row r="88" spans="1:3" x14ac:dyDescent="0.55000000000000004">
      <c r="A88" s="68">
        <v>145</v>
      </c>
      <c r="C88" s="68">
        <v>29.67</v>
      </c>
    </row>
    <row r="89" spans="1:3" x14ac:dyDescent="0.55000000000000004">
      <c r="A89" s="68">
        <v>145</v>
      </c>
      <c r="C89" s="68">
        <v>29.67</v>
      </c>
    </row>
    <row r="90" spans="1:3" x14ac:dyDescent="0.55000000000000004">
      <c r="A90" s="68">
        <v>145</v>
      </c>
      <c r="C90" s="68">
        <v>29.67</v>
      </c>
    </row>
    <row r="91" spans="1:3" x14ac:dyDescent="0.55000000000000004">
      <c r="A91" s="68">
        <v>145</v>
      </c>
      <c r="C91" s="68">
        <v>29.67</v>
      </c>
    </row>
    <row r="92" spans="1:3" x14ac:dyDescent="0.55000000000000004">
      <c r="A92" s="68">
        <v>145</v>
      </c>
      <c r="C92" s="68">
        <v>29.67</v>
      </c>
    </row>
    <row r="93" spans="1:3" x14ac:dyDescent="0.55000000000000004">
      <c r="A93" s="68">
        <v>145</v>
      </c>
      <c r="C93" s="68">
        <v>29.67</v>
      </c>
    </row>
    <row r="94" spans="1:3" x14ac:dyDescent="0.55000000000000004">
      <c r="A94" s="68">
        <v>542</v>
      </c>
      <c r="C94" s="68">
        <v>19.5</v>
      </c>
    </row>
    <row r="95" spans="1:3" x14ac:dyDescent="0.55000000000000004">
      <c r="A95" s="68">
        <v>542</v>
      </c>
      <c r="C95" s="68">
        <v>19.5</v>
      </c>
    </row>
    <row r="96" spans="1:3" x14ac:dyDescent="0.55000000000000004">
      <c r="A96" s="68">
        <v>542</v>
      </c>
      <c r="C96" s="68">
        <v>19.5</v>
      </c>
    </row>
    <row r="97" spans="1:3" x14ac:dyDescent="0.55000000000000004">
      <c r="A97" s="68">
        <v>542</v>
      </c>
      <c r="C97" s="68">
        <v>19.5</v>
      </c>
    </row>
    <row r="98" spans="1:3" x14ac:dyDescent="0.55000000000000004">
      <c r="A98" s="68">
        <v>542</v>
      </c>
      <c r="C98" s="68">
        <v>19.5</v>
      </c>
    </row>
    <row r="99" spans="1:3" x14ac:dyDescent="0.55000000000000004">
      <c r="A99" s="68">
        <v>542</v>
      </c>
      <c r="C99" s="68">
        <v>19.5</v>
      </c>
    </row>
    <row r="100" spans="1:3" x14ac:dyDescent="0.55000000000000004">
      <c r="A100" s="68">
        <v>542</v>
      </c>
      <c r="C100" s="68">
        <v>19.5</v>
      </c>
    </row>
    <row r="101" spans="1:3" x14ac:dyDescent="0.55000000000000004">
      <c r="A101" s="68">
        <v>542</v>
      </c>
      <c r="C101" s="68">
        <v>19.5</v>
      </c>
    </row>
    <row r="102" spans="1:3" x14ac:dyDescent="0.55000000000000004">
      <c r="A102" s="68">
        <v>542</v>
      </c>
      <c r="C102" s="68">
        <v>19.5</v>
      </c>
    </row>
    <row r="103" spans="1:3" x14ac:dyDescent="0.55000000000000004">
      <c r="A103" s="68">
        <v>542</v>
      </c>
      <c r="C103" s="68">
        <v>19.89</v>
      </c>
    </row>
    <row r="104" spans="1:3" x14ac:dyDescent="0.55000000000000004">
      <c r="A104" s="68">
        <v>542</v>
      </c>
      <c r="C104" s="68">
        <v>19.89</v>
      </c>
    </row>
    <row r="105" spans="1:3" x14ac:dyDescent="0.55000000000000004">
      <c r="A105" s="68">
        <v>542</v>
      </c>
      <c r="C105" s="68">
        <v>19.89</v>
      </c>
    </row>
    <row r="106" spans="1:3" x14ac:dyDescent="0.55000000000000004">
      <c r="A106" s="68">
        <v>542</v>
      </c>
      <c r="C106" s="68">
        <v>20.18</v>
      </c>
    </row>
    <row r="107" spans="1:3" x14ac:dyDescent="0.55000000000000004">
      <c r="A107" s="68">
        <v>542</v>
      </c>
      <c r="C107" s="68">
        <v>20.5</v>
      </c>
    </row>
    <row r="108" spans="1:3" x14ac:dyDescent="0.55000000000000004">
      <c r="A108" s="68">
        <v>542</v>
      </c>
      <c r="C108" s="68">
        <v>20.5</v>
      </c>
    </row>
    <row r="109" spans="1:3" x14ac:dyDescent="0.55000000000000004">
      <c r="A109" s="68">
        <v>542</v>
      </c>
      <c r="C109" s="68">
        <v>20.5</v>
      </c>
    </row>
    <row r="110" spans="1:3" x14ac:dyDescent="0.55000000000000004">
      <c r="A110" s="68">
        <v>542</v>
      </c>
      <c r="C110" s="68">
        <v>20.5</v>
      </c>
    </row>
    <row r="111" spans="1:3" x14ac:dyDescent="0.55000000000000004">
      <c r="A111" s="68">
        <v>542</v>
      </c>
      <c r="C111" s="68">
        <v>20.5</v>
      </c>
    </row>
    <row r="112" spans="1:3" x14ac:dyDescent="0.55000000000000004">
      <c r="A112" s="68">
        <v>542</v>
      </c>
      <c r="C112" s="68">
        <v>20.5</v>
      </c>
    </row>
    <row r="113" spans="1:3" x14ac:dyDescent="0.55000000000000004">
      <c r="A113" s="68">
        <v>542</v>
      </c>
      <c r="C113" s="68">
        <v>20.5</v>
      </c>
    </row>
    <row r="114" spans="1:3" x14ac:dyDescent="0.55000000000000004">
      <c r="A114" s="68">
        <v>542</v>
      </c>
      <c r="C114" s="68">
        <v>20.5</v>
      </c>
    </row>
    <row r="115" spans="1:3" x14ac:dyDescent="0.55000000000000004">
      <c r="A115" s="68">
        <v>542</v>
      </c>
      <c r="C115" s="68">
        <v>20.5</v>
      </c>
    </row>
    <row r="116" spans="1:3" x14ac:dyDescent="0.55000000000000004">
      <c r="A116" s="68">
        <v>542</v>
      </c>
      <c r="C116" s="68">
        <v>20.5</v>
      </c>
    </row>
    <row r="117" spans="1:3" x14ac:dyDescent="0.55000000000000004">
      <c r="A117" s="68">
        <v>542</v>
      </c>
      <c r="C117" s="68">
        <v>20.5</v>
      </c>
    </row>
    <row r="118" spans="1:3" x14ac:dyDescent="0.55000000000000004">
      <c r="A118" s="68">
        <v>542</v>
      </c>
      <c r="C118" s="68">
        <v>20.5</v>
      </c>
    </row>
    <row r="119" spans="1:3" x14ac:dyDescent="0.55000000000000004">
      <c r="A119" s="68">
        <v>542</v>
      </c>
      <c r="C119" s="68">
        <v>20.5</v>
      </c>
    </row>
    <row r="120" spans="1:3" x14ac:dyDescent="0.55000000000000004">
      <c r="A120" s="68">
        <v>542</v>
      </c>
      <c r="C120" s="68">
        <v>20.5</v>
      </c>
    </row>
    <row r="121" spans="1:3" x14ac:dyDescent="0.55000000000000004">
      <c r="A121" s="68">
        <v>542</v>
      </c>
      <c r="C121" s="68">
        <v>20.5</v>
      </c>
    </row>
    <row r="122" spans="1:3" x14ac:dyDescent="0.55000000000000004">
      <c r="A122" s="68">
        <v>542</v>
      </c>
      <c r="C122" s="68">
        <v>20.5</v>
      </c>
    </row>
    <row r="123" spans="1:3" x14ac:dyDescent="0.55000000000000004">
      <c r="A123" s="68">
        <v>542</v>
      </c>
      <c r="C123" s="68">
        <v>20.5</v>
      </c>
    </row>
    <row r="124" spans="1:3" x14ac:dyDescent="0.55000000000000004">
      <c r="A124" s="68">
        <v>542</v>
      </c>
      <c r="C124" s="68">
        <v>20.51</v>
      </c>
    </row>
    <row r="125" spans="1:3" x14ac:dyDescent="0.55000000000000004">
      <c r="A125" s="68">
        <v>542</v>
      </c>
      <c r="C125" s="68">
        <v>20.84</v>
      </c>
    </row>
    <row r="126" spans="1:3" x14ac:dyDescent="0.55000000000000004">
      <c r="A126" s="68">
        <v>542</v>
      </c>
      <c r="C126" s="68">
        <v>20.84</v>
      </c>
    </row>
    <row r="127" spans="1:3" x14ac:dyDescent="0.55000000000000004">
      <c r="A127" s="68">
        <v>542</v>
      </c>
      <c r="C127" s="68">
        <v>20.89</v>
      </c>
    </row>
    <row r="128" spans="1:3" x14ac:dyDescent="0.55000000000000004">
      <c r="A128" s="68">
        <v>542</v>
      </c>
      <c r="C128" s="68">
        <v>21.14</v>
      </c>
    </row>
    <row r="129" spans="1:3" x14ac:dyDescent="0.55000000000000004">
      <c r="A129" s="68">
        <v>542</v>
      </c>
      <c r="C129" s="68">
        <v>21.48</v>
      </c>
    </row>
    <row r="130" spans="1:3" x14ac:dyDescent="0.55000000000000004">
      <c r="A130" s="68">
        <v>542</v>
      </c>
      <c r="C130" s="68">
        <v>22.14</v>
      </c>
    </row>
    <row r="131" spans="1:3" x14ac:dyDescent="0.55000000000000004">
      <c r="A131" s="68">
        <v>542</v>
      </c>
      <c r="C131" s="68">
        <v>22.14</v>
      </c>
    </row>
    <row r="132" spans="1:3" x14ac:dyDescent="0.55000000000000004">
      <c r="A132" s="68">
        <v>542</v>
      </c>
      <c r="C132" s="68">
        <v>22.14</v>
      </c>
    </row>
    <row r="133" spans="1:3" x14ac:dyDescent="0.55000000000000004">
      <c r="A133" s="68">
        <v>542</v>
      </c>
      <c r="C133" s="68">
        <v>22.57</v>
      </c>
    </row>
    <row r="134" spans="1:3" x14ac:dyDescent="0.55000000000000004">
      <c r="A134" s="68">
        <v>542</v>
      </c>
      <c r="C134" s="68">
        <v>22.93</v>
      </c>
    </row>
    <row r="135" spans="1:3" x14ac:dyDescent="0.55000000000000004">
      <c r="A135" s="68">
        <v>542</v>
      </c>
      <c r="C135" s="68">
        <v>23.78</v>
      </c>
    </row>
    <row r="136" spans="1:3" x14ac:dyDescent="0.55000000000000004">
      <c r="A136" s="68">
        <v>542</v>
      </c>
      <c r="C136" s="68">
        <v>24.6</v>
      </c>
    </row>
    <row r="137" spans="1:3" x14ac:dyDescent="0.55000000000000004">
      <c r="A137" s="68">
        <v>542</v>
      </c>
      <c r="C137" s="68">
        <v>24.6</v>
      </c>
    </row>
    <row r="138" spans="1:3" x14ac:dyDescent="0.55000000000000004">
      <c r="A138" s="68">
        <v>542</v>
      </c>
      <c r="C138" s="68">
        <v>25.41</v>
      </c>
    </row>
    <row r="139" spans="1:3" x14ac:dyDescent="0.55000000000000004">
      <c r="A139" s="68">
        <v>542</v>
      </c>
      <c r="C139" s="68">
        <v>25.41</v>
      </c>
    </row>
    <row r="140" spans="1:3" x14ac:dyDescent="0.55000000000000004">
      <c r="A140" s="68">
        <v>336</v>
      </c>
      <c r="C140" s="68">
        <v>20.6</v>
      </c>
    </row>
    <row r="141" spans="1:3" x14ac:dyDescent="0.55000000000000004">
      <c r="A141" s="68">
        <v>336</v>
      </c>
      <c r="C141" s="68">
        <v>18.91</v>
      </c>
    </row>
    <row r="142" spans="1:3" x14ac:dyDescent="0.55000000000000004">
      <c r="A142" s="68">
        <v>336</v>
      </c>
      <c r="C142" s="68">
        <v>19.739999999999998</v>
      </c>
    </row>
    <row r="143" spans="1:3" x14ac:dyDescent="0.55000000000000004">
      <c r="A143" s="68">
        <v>336</v>
      </c>
      <c r="C143" s="68">
        <v>18.62</v>
      </c>
    </row>
    <row r="144" spans="1:3" x14ac:dyDescent="0.55000000000000004">
      <c r="A144" s="68">
        <v>336</v>
      </c>
      <c r="C144" s="68">
        <v>19.13</v>
      </c>
    </row>
    <row r="145" spans="1:3" x14ac:dyDescent="0.55000000000000004">
      <c r="A145" s="68">
        <v>336</v>
      </c>
      <c r="C145" s="68">
        <v>18.62</v>
      </c>
    </row>
    <row r="146" spans="1:3" x14ac:dyDescent="0.55000000000000004">
      <c r="A146" s="68">
        <v>336</v>
      </c>
      <c r="C146" s="68">
        <v>18.91</v>
      </c>
    </row>
    <row r="147" spans="1:3" x14ac:dyDescent="0.55000000000000004">
      <c r="A147" s="68">
        <v>336</v>
      </c>
      <c r="C147" s="68">
        <v>18.8</v>
      </c>
    </row>
    <row r="148" spans="1:3" x14ac:dyDescent="0.55000000000000004">
      <c r="A148" s="68">
        <v>336</v>
      </c>
      <c r="C148" s="68">
        <v>22.83</v>
      </c>
    </row>
    <row r="149" spans="1:3" x14ac:dyDescent="0.55000000000000004">
      <c r="A149" s="68">
        <v>336</v>
      </c>
      <c r="C149" s="68">
        <v>23.72</v>
      </c>
    </row>
    <row r="150" spans="1:3" x14ac:dyDescent="0.55000000000000004">
      <c r="A150" s="68">
        <v>336</v>
      </c>
      <c r="C150" s="68">
        <v>19.38</v>
      </c>
    </row>
    <row r="151" spans="1:3" x14ac:dyDescent="0.55000000000000004">
      <c r="A151" s="68">
        <v>336</v>
      </c>
      <c r="C151" s="68">
        <v>19.38</v>
      </c>
    </row>
    <row r="152" spans="1:3" x14ac:dyDescent="0.55000000000000004">
      <c r="A152" s="68">
        <v>336</v>
      </c>
      <c r="C152" s="68">
        <v>19.64</v>
      </c>
    </row>
    <row r="153" spans="1:3" x14ac:dyDescent="0.55000000000000004">
      <c r="A153" s="68">
        <v>336</v>
      </c>
      <c r="C153" s="68">
        <v>19.88</v>
      </c>
    </row>
    <row r="154" spans="1:3" x14ac:dyDescent="0.55000000000000004">
      <c r="A154" s="68">
        <v>336</v>
      </c>
      <c r="C154" s="68">
        <v>19.88</v>
      </c>
    </row>
    <row r="155" spans="1:3" x14ac:dyDescent="0.55000000000000004">
      <c r="A155" s="68">
        <v>336</v>
      </c>
      <c r="C155" s="68">
        <v>20.149999999999999</v>
      </c>
    </row>
    <row r="156" spans="1:3" x14ac:dyDescent="0.55000000000000004">
      <c r="A156" s="68">
        <v>336</v>
      </c>
      <c r="C156" s="68">
        <v>20.149999999999999</v>
      </c>
    </row>
    <row r="157" spans="1:3" x14ac:dyDescent="0.55000000000000004">
      <c r="A157" s="68">
        <v>336</v>
      </c>
      <c r="C157" s="68">
        <v>20.149999999999999</v>
      </c>
    </row>
    <row r="158" spans="1:3" x14ac:dyDescent="0.55000000000000004">
      <c r="A158" s="68">
        <v>336</v>
      </c>
      <c r="C158" s="68">
        <v>20.399999999999999</v>
      </c>
    </row>
    <row r="159" spans="1:3" x14ac:dyDescent="0.55000000000000004">
      <c r="A159" s="68">
        <v>336</v>
      </c>
      <c r="C159" s="68">
        <v>21.11</v>
      </c>
    </row>
    <row r="160" spans="1:3" x14ac:dyDescent="0.55000000000000004">
      <c r="A160" s="68">
        <v>336</v>
      </c>
      <c r="C160" s="68">
        <v>22.08</v>
      </c>
    </row>
    <row r="161" spans="1:3" x14ac:dyDescent="0.55000000000000004">
      <c r="A161" s="68">
        <v>336</v>
      </c>
      <c r="C161" s="68">
        <v>22.78</v>
      </c>
    </row>
    <row r="162" spans="1:3" x14ac:dyDescent="0.55000000000000004">
      <c r="A162" s="68">
        <v>336</v>
      </c>
      <c r="C162" s="68">
        <v>22.95</v>
      </c>
    </row>
    <row r="163" spans="1:3" x14ac:dyDescent="0.55000000000000004">
      <c r="A163" s="68">
        <v>336</v>
      </c>
      <c r="C163" s="68">
        <v>23.46</v>
      </c>
    </row>
    <row r="164" spans="1:3" x14ac:dyDescent="0.55000000000000004">
      <c r="A164" s="68">
        <v>555</v>
      </c>
      <c r="C164" s="68">
        <v>23.01</v>
      </c>
    </row>
    <row r="165" spans="1:3" x14ac:dyDescent="0.55000000000000004">
      <c r="A165" s="68">
        <v>555</v>
      </c>
      <c r="C165" s="68">
        <v>19.62</v>
      </c>
    </row>
    <row r="166" spans="1:3" x14ac:dyDescent="0.55000000000000004">
      <c r="A166" s="68">
        <v>555</v>
      </c>
      <c r="C166" s="68">
        <v>19.03</v>
      </c>
    </row>
    <row r="167" spans="1:3" x14ac:dyDescent="0.55000000000000004">
      <c r="A167" s="68">
        <v>555</v>
      </c>
      <c r="C167" s="68">
        <v>18.48</v>
      </c>
    </row>
    <row r="168" spans="1:3" x14ac:dyDescent="0.55000000000000004">
      <c r="A168" s="68">
        <v>555</v>
      </c>
      <c r="C168" s="68">
        <v>19.010000000000002</v>
      </c>
    </row>
    <row r="169" spans="1:3" x14ac:dyDescent="0.55000000000000004">
      <c r="A169" s="68">
        <v>555</v>
      </c>
      <c r="C169" s="68">
        <v>18.940000000000001</v>
      </c>
    </row>
    <row r="170" spans="1:3" x14ac:dyDescent="0.55000000000000004">
      <c r="A170" s="68">
        <v>555</v>
      </c>
      <c r="C170" s="68">
        <v>18.62</v>
      </c>
    </row>
    <row r="171" spans="1:3" x14ac:dyDescent="0.55000000000000004">
      <c r="A171" s="68">
        <v>555</v>
      </c>
      <c r="C171" s="68">
        <v>18.25</v>
      </c>
    </row>
    <row r="172" spans="1:3" x14ac:dyDescent="0.55000000000000004">
      <c r="A172" s="68">
        <v>555</v>
      </c>
      <c r="C172" s="68">
        <v>18.579999999999998</v>
      </c>
    </row>
    <row r="173" spans="1:3" x14ac:dyDescent="0.55000000000000004">
      <c r="A173" s="68">
        <v>555</v>
      </c>
      <c r="C173" s="68">
        <v>18.25</v>
      </c>
    </row>
    <row r="174" spans="1:3" x14ac:dyDescent="0.55000000000000004">
      <c r="A174" s="68">
        <v>555</v>
      </c>
      <c r="C174" s="68">
        <v>18.739999999999998</v>
      </c>
    </row>
    <row r="175" spans="1:3" x14ac:dyDescent="0.55000000000000004">
      <c r="A175" s="68">
        <v>555</v>
      </c>
      <c r="C175" s="68">
        <v>19.77</v>
      </c>
    </row>
    <row r="176" spans="1:3" x14ac:dyDescent="0.55000000000000004">
      <c r="A176" s="68">
        <v>555</v>
      </c>
      <c r="C176" s="68">
        <v>19.059999999999999</v>
      </c>
    </row>
    <row r="177" spans="1:3" x14ac:dyDescent="0.55000000000000004">
      <c r="A177" s="68">
        <v>555</v>
      </c>
      <c r="C177" s="68">
        <v>21.38</v>
      </c>
    </row>
    <row r="178" spans="1:3" x14ac:dyDescent="0.55000000000000004">
      <c r="A178" s="68">
        <v>555</v>
      </c>
      <c r="C178" s="68">
        <v>18.399999999999999</v>
      </c>
    </row>
    <row r="179" spans="1:3" x14ac:dyDescent="0.55000000000000004">
      <c r="A179" s="68">
        <v>555</v>
      </c>
      <c r="C179" s="68">
        <v>18.8</v>
      </c>
    </row>
    <row r="180" spans="1:3" x14ac:dyDescent="0.55000000000000004">
      <c r="A180" s="68">
        <v>555</v>
      </c>
      <c r="C180" s="68">
        <v>19.149999999999999</v>
      </c>
    </row>
    <row r="181" spans="1:3" x14ac:dyDescent="0.55000000000000004">
      <c r="A181" s="68">
        <v>555</v>
      </c>
      <c r="C181" s="68">
        <v>18.62</v>
      </c>
    </row>
    <row r="182" spans="1:3" x14ac:dyDescent="0.55000000000000004">
      <c r="A182" s="68">
        <v>555</v>
      </c>
      <c r="C182" s="68">
        <v>18.989999999999998</v>
      </c>
    </row>
    <row r="183" spans="1:3" x14ac:dyDescent="0.55000000000000004">
      <c r="A183" s="68">
        <v>555</v>
      </c>
      <c r="C183" s="68">
        <v>18.62</v>
      </c>
    </row>
    <row r="184" spans="1:3" x14ac:dyDescent="0.55000000000000004">
      <c r="A184" s="68">
        <v>555</v>
      </c>
      <c r="C184" s="68">
        <v>19.190000000000001</v>
      </c>
    </row>
    <row r="185" spans="1:3" x14ac:dyDescent="0.55000000000000004">
      <c r="A185" s="68">
        <v>555</v>
      </c>
      <c r="C185" s="68">
        <v>18.8</v>
      </c>
    </row>
    <row r="186" spans="1:3" x14ac:dyDescent="0.55000000000000004">
      <c r="A186" s="68">
        <v>555</v>
      </c>
      <c r="C186" s="68">
        <v>21.18</v>
      </c>
    </row>
    <row r="187" spans="1:3" x14ac:dyDescent="0.55000000000000004">
      <c r="A187" s="68">
        <v>423</v>
      </c>
      <c r="C187" s="68">
        <v>22</v>
      </c>
    </row>
    <row r="188" spans="1:3" x14ac:dyDescent="0.55000000000000004">
      <c r="A188" s="68">
        <v>423</v>
      </c>
      <c r="C188" s="68">
        <v>22</v>
      </c>
    </row>
    <row r="189" spans="1:3" x14ac:dyDescent="0.55000000000000004">
      <c r="A189" s="68">
        <v>423</v>
      </c>
      <c r="C189" s="68">
        <v>23</v>
      </c>
    </row>
    <row r="190" spans="1:3" x14ac:dyDescent="0.55000000000000004">
      <c r="A190" s="68">
        <v>423</v>
      </c>
      <c r="C190" s="68">
        <v>21</v>
      </c>
    </row>
    <row r="191" spans="1:3" x14ac:dyDescent="0.55000000000000004">
      <c r="A191" s="68">
        <v>423</v>
      </c>
      <c r="C191" s="68">
        <v>22</v>
      </c>
    </row>
    <row r="192" spans="1:3" x14ac:dyDescent="0.55000000000000004">
      <c r="A192" s="68">
        <v>423</v>
      </c>
      <c r="C192" s="68">
        <v>20.5</v>
      </c>
    </row>
    <row r="193" spans="1:3" x14ac:dyDescent="0.55000000000000004">
      <c r="A193" s="68">
        <v>423</v>
      </c>
      <c r="C193" s="68">
        <v>21.5</v>
      </c>
    </row>
    <row r="194" spans="1:3" x14ac:dyDescent="0.55000000000000004">
      <c r="A194" s="68">
        <v>423</v>
      </c>
      <c r="C194" s="68">
        <v>18</v>
      </c>
    </row>
    <row r="195" spans="1:3" x14ac:dyDescent="0.55000000000000004">
      <c r="A195" s="68">
        <v>423</v>
      </c>
      <c r="C195" s="68">
        <v>22</v>
      </c>
    </row>
    <row r="196" spans="1:3" x14ac:dyDescent="0.55000000000000004">
      <c r="A196" s="68">
        <v>423</v>
      </c>
      <c r="C196" s="68">
        <v>22</v>
      </c>
    </row>
    <row r="197" spans="1:3" x14ac:dyDescent="0.55000000000000004">
      <c r="A197" s="68">
        <v>423</v>
      </c>
      <c r="C197" s="68">
        <v>20.75</v>
      </c>
    </row>
    <row r="198" spans="1:3" x14ac:dyDescent="0.55000000000000004">
      <c r="A198" s="68">
        <v>423</v>
      </c>
      <c r="C198" s="68">
        <v>20.5</v>
      </c>
    </row>
    <row r="199" spans="1:3" x14ac:dyDescent="0.55000000000000004">
      <c r="A199" s="68">
        <v>423</v>
      </c>
      <c r="C199" s="68">
        <v>19.75</v>
      </c>
    </row>
    <row r="200" spans="1:3" x14ac:dyDescent="0.55000000000000004">
      <c r="A200" s="68">
        <v>423</v>
      </c>
      <c r="C200" s="68">
        <v>19</v>
      </c>
    </row>
    <row r="201" spans="1:3" x14ac:dyDescent="0.55000000000000004">
      <c r="A201" s="68">
        <v>423</v>
      </c>
      <c r="C201" s="68">
        <v>18</v>
      </c>
    </row>
    <row r="202" spans="1:3" x14ac:dyDescent="0.55000000000000004">
      <c r="A202" s="68">
        <v>423</v>
      </c>
      <c r="C202" s="68">
        <v>18</v>
      </c>
    </row>
    <row r="203" spans="1:3" x14ac:dyDescent="0.55000000000000004">
      <c r="A203" s="68">
        <v>423</v>
      </c>
      <c r="C203" s="68">
        <v>19.75</v>
      </c>
    </row>
    <row r="204" spans="1:3" x14ac:dyDescent="0.55000000000000004">
      <c r="A204" s="68">
        <v>423</v>
      </c>
      <c r="C204" s="68">
        <v>20</v>
      </c>
    </row>
    <row r="205" spans="1:3" x14ac:dyDescent="0.55000000000000004">
      <c r="A205" s="68">
        <v>423</v>
      </c>
      <c r="C205" s="68">
        <v>22</v>
      </c>
    </row>
    <row r="206" spans="1:3" x14ac:dyDescent="0.55000000000000004">
      <c r="A206" s="68">
        <v>423</v>
      </c>
      <c r="C206" s="68">
        <v>21.5</v>
      </c>
    </row>
    <row r="207" spans="1:3" x14ac:dyDescent="0.55000000000000004">
      <c r="A207" s="68">
        <v>423</v>
      </c>
      <c r="C207" s="68">
        <v>22</v>
      </c>
    </row>
    <row r="208" spans="1:3" x14ac:dyDescent="0.55000000000000004">
      <c r="A208" s="68">
        <v>423</v>
      </c>
      <c r="C208" s="68">
        <v>23</v>
      </c>
    </row>
    <row r="209" spans="1:3" x14ac:dyDescent="0.55000000000000004">
      <c r="A209" s="68">
        <v>423</v>
      </c>
      <c r="C209" s="68">
        <v>18</v>
      </c>
    </row>
    <row r="210" spans="1:3" x14ac:dyDescent="0.55000000000000004">
      <c r="A210" s="68">
        <v>423</v>
      </c>
      <c r="C210" s="68">
        <v>22</v>
      </c>
    </row>
    <row r="211" spans="1:3" x14ac:dyDescent="0.55000000000000004">
      <c r="A211" s="68">
        <v>423</v>
      </c>
      <c r="C211" s="68">
        <v>22</v>
      </c>
    </row>
    <row r="212" spans="1:3" x14ac:dyDescent="0.55000000000000004">
      <c r="A212" s="68">
        <v>423</v>
      </c>
      <c r="C212" s="68">
        <v>21.75</v>
      </c>
    </row>
    <row r="213" spans="1:3" x14ac:dyDescent="0.55000000000000004">
      <c r="A213" s="68">
        <v>423</v>
      </c>
      <c r="C213" s="68">
        <v>22</v>
      </c>
    </row>
    <row r="214" spans="1:3" x14ac:dyDescent="0.55000000000000004">
      <c r="A214" s="68">
        <v>423</v>
      </c>
      <c r="C214" s="68">
        <v>23</v>
      </c>
    </row>
    <row r="215" spans="1:3" x14ac:dyDescent="0.55000000000000004">
      <c r="A215" s="68">
        <v>423</v>
      </c>
      <c r="C215" s="68">
        <v>20</v>
      </c>
    </row>
    <row r="216" spans="1:3" x14ac:dyDescent="0.55000000000000004">
      <c r="A216" s="68">
        <v>423</v>
      </c>
      <c r="C216" s="68">
        <v>19</v>
      </c>
    </row>
    <row r="217" spans="1:3" x14ac:dyDescent="0.55000000000000004">
      <c r="A217" s="68">
        <v>423</v>
      </c>
      <c r="C217" s="68">
        <v>18</v>
      </c>
    </row>
    <row r="218" spans="1:3" x14ac:dyDescent="0.55000000000000004">
      <c r="A218" s="68">
        <v>423</v>
      </c>
      <c r="C218" s="68">
        <v>22</v>
      </c>
    </row>
    <row r="219" spans="1:3" x14ac:dyDescent="0.55000000000000004">
      <c r="A219" s="68">
        <v>423</v>
      </c>
      <c r="C219" s="68">
        <v>22</v>
      </c>
    </row>
    <row r="220" spans="1:3" x14ac:dyDescent="0.55000000000000004">
      <c r="A220" s="68">
        <v>423</v>
      </c>
      <c r="C220" s="68">
        <v>21.75</v>
      </c>
    </row>
    <row r="221" spans="1:3" x14ac:dyDescent="0.55000000000000004">
      <c r="A221" s="68">
        <v>265</v>
      </c>
      <c r="C221" s="68">
        <v>22.27</v>
      </c>
    </row>
    <row r="222" spans="1:3" x14ac:dyDescent="0.55000000000000004">
      <c r="A222" s="68">
        <v>265</v>
      </c>
      <c r="C222" s="68">
        <v>19.809999999999999</v>
      </c>
    </row>
    <row r="223" spans="1:3" x14ac:dyDescent="0.55000000000000004">
      <c r="A223" s="68">
        <v>265</v>
      </c>
      <c r="C223" s="68">
        <v>21.45</v>
      </c>
    </row>
    <row r="224" spans="1:3" x14ac:dyDescent="0.55000000000000004">
      <c r="A224" s="68">
        <v>265</v>
      </c>
      <c r="C224" s="68">
        <v>20.93</v>
      </c>
    </row>
    <row r="225" spans="1:3" x14ac:dyDescent="0.55000000000000004">
      <c r="A225" s="68">
        <v>265</v>
      </c>
      <c r="C225" s="68">
        <v>20.93</v>
      </c>
    </row>
    <row r="226" spans="1:3" x14ac:dyDescent="0.55000000000000004">
      <c r="A226" s="68">
        <v>265</v>
      </c>
      <c r="C226" s="68">
        <v>23.03</v>
      </c>
    </row>
    <row r="227" spans="1:3" x14ac:dyDescent="0.55000000000000004">
      <c r="A227" s="68">
        <v>265</v>
      </c>
      <c r="C227" s="68">
        <v>23.03</v>
      </c>
    </row>
    <row r="228" spans="1:3" x14ac:dyDescent="0.55000000000000004">
      <c r="A228" s="68">
        <v>265</v>
      </c>
      <c r="C228" s="68">
        <v>19.420000000000002</v>
      </c>
    </row>
    <row r="229" spans="1:3" x14ac:dyDescent="0.55000000000000004">
      <c r="A229" s="68">
        <v>265</v>
      </c>
      <c r="C229" s="68">
        <v>21.67</v>
      </c>
    </row>
    <row r="230" spans="1:3" x14ac:dyDescent="0.55000000000000004">
      <c r="A230" s="68">
        <v>265</v>
      </c>
      <c r="C230" s="68">
        <v>21.24</v>
      </c>
    </row>
    <row r="231" spans="1:3" x14ac:dyDescent="0.55000000000000004">
      <c r="A231" s="68">
        <v>265</v>
      </c>
      <c r="C231" s="68">
        <v>21.54</v>
      </c>
    </row>
    <row r="232" spans="1:3" x14ac:dyDescent="0.55000000000000004">
      <c r="A232" s="68">
        <v>265</v>
      </c>
      <c r="C232" s="68">
        <v>21.67</v>
      </c>
    </row>
    <row r="233" spans="1:3" x14ac:dyDescent="0.55000000000000004">
      <c r="A233" s="68">
        <v>265</v>
      </c>
      <c r="C233" s="68">
        <v>21.67</v>
      </c>
    </row>
    <row r="234" spans="1:3" x14ac:dyDescent="0.55000000000000004">
      <c r="A234" s="68">
        <v>265</v>
      </c>
      <c r="C234" s="68">
        <v>23.03</v>
      </c>
    </row>
    <row r="235" spans="1:3" x14ac:dyDescent="0.55000000000000004">
      <c r="A235" s="68">
        <v>265</v>
      </c>
      <c r="C235" s="68">
        <v>19.420000000000002</v>
      </c>
    </row>
    <row r="236" spans="1:3" x14ac:dyDescent="0.55000000000000004">
      <c r="A236" s="68">
        <v>265</v>
      </c>
      <c r="C236" s="68">
        <v>19.420000000000002</v>
      </c>
    </row>
    <row r="237" spans="1:3" x14ac:dyDescent="0.55000000000000004">
      <c r="A237" s="68">
        <v>265</v>
      </c>
      <c r="C237" s="68">
        <v>22.42</v>
      </c>
    </row>
    <row r="238" spans="1:3" x14ac:dyDescent="0.55000000000000004">
      <c r="A238" s="68">
        <v>265</v>
      </c>
      <c r="C238" s="68">
        <v>23.03</v>
      </c>
    </row>
    <row r="239" spans="1:3" x14ac:dyDescent="0.55000000000000004">
      <c r="A239" s="68">
        <v>265</v>
      </c>
      <c r="C239" s="68">
        <v>21.24</v>
      </c>
    </row>
    <row r="240" spans="1:3" x14ac:dyDescent="0.55000000000000004">
      <c r="A240" s="68">
        <v>265</v>
      </c>
      <c r="C240" s="68">
        <v>20.93</v>
      </c>
    </row>
    <row r="241" spans="1:3" x14ac:dyDescent="0.55000000000000004">
      <c r="A241" s="68">
        <v>265</v>
      </c>
      <c r="C241" s="68">
        <v>19.420000000000002</v>
      </c>
    </row>
    <row r="242" spans="1:3" x14ac:dyDescent="0.55000000000000004">
      <c r="A242" s="68">
        <v>265</v>
      </c>
      <c r="C242" s="68">
        <v>22.27</v>
      </c>
    </row>
    <row r="243" spans="1:3" x14ac:dyDescent="0.55000000000000004">
      <c r="A243" s="68">
        <v>265</v>
      </c>
      <c r="C243" s="68">
        <v>22.1</v>
      </c>
    </row>
    <row r="244" spans="1:3" x14ac:dyDescent="0.55000000000000004">
      <c r="A244" s="68">
        <v>265</v>
      </c>
      <c r="C244" s="68">
        <v>19.420000000000002</v>
      </c>
    </row>
    <row r="245" spans="1:3" x14ac:dyDescent="0.55000000000000004">
      <c r="A245" s="68">
        <v>265</v>
      </c>
      <c r="C245" s="68">
        <v>23.03</v>
      </c>
    </row>
    <row r="246" spans="1:3" x14ac:dyDescent="0.55000000000000004">
      <c r="A246" s="68">
        <v>910</v>
      </c>
      <c r="C246" s="68">
        <v>18.759999999999994</v>
      </c>
    </row>
    <row r="247" spans="1:3" x14ac:dyDescent="0.55000000000000004">
      <c r="A247" s="68">
        <v>910</v>
      </c>
      <c r="C247" s="68">
        <v>18.761927891156457</v>
      </c>
    </row>
    <row r="248" spans="1:3" x14ac:dyDescent="0.55000000000000004">
      <c r="A248" s="68">
        <v>910</v>
      </c>
      <c r="C248" s="68">
        <v>18.759999999999994</v>
      </c>
    </row>
    <row r="249" spans="1:3" x14ac:dyDescent="0.55000000000000004">
      <c r="A249" s="68">
        <v>910</v>
      </c>
      <c r="C249" s="68">
        <v>23.910287716810643</v>
      </c>
    </row>
    <row r="250" spans="1:3" x14ac:dyDescent="0.55000000000000004">
      <c r="A250" s="68">
        <v>910</v>
      </c>
      <c r="C250" s="68">
        <v>18.040000000000006</v>
      </c>
    </row>
    <row r="251" spans="1:3" x14ac:dyDescent="0.55000000000000004">
      <c r="A251" s="68">
        <v>910</v>
      </c>
      <c r="C251" s="68">
        <v>20.311348154217697</v>
      </c>
    </row>
    <row r="252" spans="1:3" x14ac:dyDescent="0.55000000000000004">
      <c r="A252" s="68">
        <v>910</v>
      </c>
      <c r="C252" s="68">
        <v>20.307604239245677</v>
      </c>
    </row>
    <row r="253" spans="1:3" x14ac:dyDescent="0.55000000000000004">
      <c r="A253" s="68">
        <v>910</v>
      </c>
      <c r="C253" s="68">
        <v>18.761683364142513</v>
      </c>
    </row>
    <row r="254" spans="1:3" x14ac:dyDescent="0.55000000000000004">
      <c r="A254" s="68">
        <v>910</v>
      </c>
      <c r="C254" s="68">
        <v>22.80121323529411</v>
      </c>
    </row>
    <row r="255" spans="1:3" x14ac:dyDescent="0.55000000000000004">
      <c r="A255" s="68">
        <v>910</v>
      </c>
      <c r="C255" s="68">
        <v>19.770314254988687</v>
      </c>
    </row>
    <row r="256" spans="1:3" x14ac:dyDescent="0.55000000000000004">
      <c r="A256" s="68">
        <v>910</v>
      </c>
      <c r="C256" s="68">
        <v>19.774509029369327</v>
      </c>
    </row>
    <row r="257" spans="1:3" x14ac:dyDescent="0.55000000000000004">
      <c r="A257" s="68">
        <v>910</v>
      </c>
      <c r="C257" s="68">
        <v>19.260412026339768</v>
      </c>
    </row>
    <row r="258" spans="1:3" x14ac:dyDescent="0.55000000000000004">
      <c r="A258" s="68">
        <v>910</v>
      </c>
      <c r="C258" s="68">
        <v>18.761508110392224</v>
      </c>
    </row>
    <row r="259" spans="1:3" x14ac:dyDescent="0.55000000000000004">
      <c r="A259" s="68">
        <v>910</v>
      </c>
      <c r="C259" s="68">
        <v>19.770085094643921</v>
      </c>
    </row>
    <row r="260" spans="1:3" x14ac:dyDescent="0.55000000000000004">
      <c r="A260" s="68">
        <v>910</v>
      </c>
      <c r="C260" s="68">
        <v>19.647014205837731</v>
      </c>
    </row>
    <row r="261" spans="1:3" x14ac:dyDescent="0.55000000000000004">
      <c r="A261" s="68">
        <v>910</v>
      </c>
      <c r="C261" s="68">
        <v>21.540113186191284</v>
      </c>
    </row>
    <row r="262" spans="1:3" x14ac:dyDescent="0.55000000000000004">
      <c r="A262" s="68">
        <v>910</v>
      </c>
      <c r="C262" s="68">
        <v>19.01037616194791</v>
      </c>
    </row>
    <row r="263" spans="1:3" x14ac:dyDescent="0.55000000000000004">
      <c r="A263" s="68">
        <v>910</v>
      </c>
      <c r="C263" s="68">
        <v>18.761261061397587</v>
      </c>
    </row>
    <row r="264" spans="1:3" x14ac:dyDescent="0.55000000000000004">
      <c r="A264" s="68">
        <v>910</v>
      </c>
      <c r="C264" s="68">
        <v>22.64</v>
      </c>
    </row>
    <row r="265" spans="1:3" x14ac:dyDescent="0.55000000000000004">
      <c r="A265" s="68">
        <v>910</v>
      </c>
      <c r="C265" s="68">
        <v>18.761666359319168</v>
      </c>
    </row>
    <row r="266" spans="1:3" x14ac:dyDescent="0.55000000000000004">
      <c r="A266" s="68">
        <v>910</v>
      </c>
      <c r="C266" s="68">
        <v>19.259999999999998</v>
      </c>
    </row>
    <row r="267" spans="1:3" x14ac:dyDescent="0.55000000000000004">
      <c r="A267" s="68">
        <v>910</v>
      </c>
      <c r="C267" s="68">
        <v>18.761296756058609</v>
      </c>
    </row>
    <row r="268" spans="1:3" x14ac:dyDescent="0.55000000000000004">
      <c r="A268" s="68">
        <v>910</v>
      </c>
      <c r="C268" s="68">
        <v>18.87875</v>
      </c>
    </row>
    <row r="269" spans="1:3" x14ac:dyDescent="0.55000000000000004">
      <c r="A269" s="68">
        <v>910</v>
      </c>
      <c r="C269" s="68">
        <v>18.761379600574124</v>
      </c>
    </row>
    <row r="270" spans="1:3" x14ac:dyDescent="0.55000000000000004">
      <c r="A270" s="68">
        <v>910</v>
      </c>
      <c r="C270" s="68">
        <v>19.292286107831561</v>
      </c>
    </row>
    <row r="271" spans="1:3" x14ac:dyDescent="0.55000000000000004">
      <c r="A271" s="68">
        <v>910</v>
      </c>
      <c r="C271" s="68">
        <v>19.326587636793302</v>
      </c>
    </row>
    <row r="272" spans="1:3" x14ac:dyDescent="0.55000000000000004">
      <c r="A272" s="68">
        <v>910</v>
      </c>
      <c r="C272" s="68">
        <v>18.761308651458791</v>
      </c>
    </row>
    <row r="273" spans="1:3" x14ac:dyDescent="0.55000000000000004">
      <c r="A273" s="68">
        <v>910</v>
      </c>
      <c r="C273" s="68">
        <v>18.761638774989031</v>
      </c>
    </row>
    <row r="274" spans="1:3" x14ac:dyDescent="0.55000000000000004">
      <c r="A274" s="68">
        <v>910</v>
      </c>
      <c r="C274" s="68">
        <v>19.260693158182821</v>
      </c>
    </row>
    <row r="275" spans="1:3" x14ac:dyDescent="0.55000000000000004">
      <c r="A275" s="68">
        <v>910</v>
      </c>
      <c r="C275" s="68">
        <v>23.202037421987853</v>
      </c>
    </row>
    <row r="276" spans="1:3" x14ac:dyDescent="0.55000000000000004">
      <c r="A276" s="68">
        <v>910</v>
      </c>
      <c r="C276" s="68">
        <v>22.860832103450708</v>
      </c>
    </row>
    <row r="277" spans="1:3" x14ac:dyDescent="0.55000000000000004">
      <c r="A277" s="68">
        <v>910</v>
      </c>
      <c r="C277" s="68">
        <v>24.230801694487432</v>
      </c>
    </row>
    <row r="278" spans="1:3" x14ac:dyDescent="0.55000000000000004">
      <c r="A278" s="68">
        <v>910</v>
      </c>
      <c r="C278" s="68">
        <v>19.770172280330303</v>
      </c>
    </row>
    <row r="279" spans="1:3" x14ac:dyDescent="0.55000000000000004">
      <c r="A279" s="68">
        <v>910</v>
      </c>
      <c r="C279" s="68">
        <v>22.27999999999998</v>
      </c>
    </row>
    <row r="280" spans="1:3" x14ac:dyDescent="0.55000000000000004">
      <c r="A280" s="68">
        <v>910</v>
      </c>
      <c r="C280" s="68">
        <v>22.396626072364231</v>
      </c>
    </row>
    <row r="281" spans="1:3" x14ac:dyDescent="0.55000000000000004">
      <c r="A281" s="68">
        <v>910</v>
      </c>
      <c r="C281" s="68">
        <v>19.329982618392439</v>
      </c>
    </row>
    <row r="282" spans="1:3" x14ac:dyDescent="0.55000000000000004">
      <c r="A282" s="68">
        <v>910</v>
      </c>
      <c r="C282" s="68">
        <v>24.229933585504426</v>
      </c>
    </row>
    <row r="283" spans="1:3" x14ac:dyDescent="0.55000000000000004">
      <c r="A283" s="68">
        <v>910</v>
      </c>
      <c r="C283" s="68">
        <v>24.559999999999963</v>
      </c>
    </row>
    <row r="284" spans="1:3" x14ac:dyDescent="0.55000000000000004">
      <c r="A284" s="68">
        <v>910</v>
      </c>
      <c r="C284" s="68">
        <v>24.230043956516365</v>
      </c>
    </row>
    <row r="285" spans="1:3" x14ac:dyDescent="0.55000000000000004">
      <c r="A285" s="68">
        <v>910</v>
      </c>
      <c r="C285" s="68">
        <v>24.559999999999963</v>
      </c>
    </row>
    <row r="286" spans="1:3" x14ac:dyDescent="0.55000000000000004">
      <c r="A286" s="68">
        <v>910</v>
      </c>
      <c r="C286" s="68">
        <v>18.76135133137911</v>
      </c>
    </row>
    <row r="287" spans="1:3" x14ac:dyDescent="0.55000000000000004">
      <c r="A287" s="68">
        <v>910</v>
      </c>
      <c r="C287" s="68">
        <v>23.910203619314188</v>
      </c>
    </row>
    <row r="288" spans="1:3" x14ac:dyDescent="0.55000000000000004">
      <c r="A288" s="68">
        <v>910</v>
      </c>
      <c r="C288" s="68">
        <v>20.956302169959535</v>
      </c>
    </row>
    <row r="289" spans="1:3" x14ac:dyDescent="0.55000000000000004">
      <c r="A289" s="68">
        <v>910</v>
      </c>
      <c r="C289" s="68">
        <v>23.910031217481809</v>
      </c>
    </row>
    <row r="290" spans="1:3" x14ac:dyDescent="0.55000000000000004">
      <c r="A290" s="68">
        <v>910</v>
      </c>
      <c r="C290" s="68">
        <v>22.27999999999998</v>
      </c>
    </row>
    <row r="291" spans="1:3" x14ac:dyDescent="0.55000000000000004">
      <c r="A291" s="68">
        <v>910</v>
      </c>
      <c r="C291" s="68">
        <v>24.23056989247311</v>
      </c>
    </row>
    <row r="292" spans="1:3" x14ac:dyDescent="0.55000000000000004">
      <c r="A292" s="68">
        <v>910</v>
      </c>
      <c r="C292" s="68">
        <v>23.910298114788432</v>
      </c>
    </row>
    <row r="293" spans="1:3" x14ac:dyDescent="0.55000000000000004">
      <c r="A293" s="68">
        <v>828</v>
      </c>
      <c r="C293" s="68">
        <v>15.14</v>
      </c>
    </row>
    <row r="294" spans="1:3" x14ac:dyDescent="0.55000000000000004">
      <c r="A294" s="68">
        <v>828</v>
      </c>
      <c r="C294" s="68">
        <v>15.14</v>
      </c>
    </row>
    <row r="295" spans="1:3" x14ac:dyDescent="0.55000000000000004">
      <c r="A295" s="68">
        <v>828</v>
      </c>
      <c r="C295" s="68">
        <v>16.600000000000001</v>
      </c>
    </row>
    <row r="296" spans="1:3" x14ac:dyDescent="0.55000000000000004">
      <c r="A296" s="68">
        <v>828</v>
      </c>
      <c r="C296" s="68">
        <v>17.809999999999999</v>
      </c>
    </row>
    <row r="297" spans="1:3" x14ac:dyDescent="0.55000000000000004">
      <c r="A297" s="68">
        <v>828</v>
      </c>
      <c r="C297" s="68">
        <v>17.809999999999999</v>
      </c>
    </row>
    <row r="298" spans="1:3" x14ac:dyDescent="0.55000000000000004">
      <c r="A298" s="68">
        <v>828</v>
      </c>
      <c r="C298" s="68">
        <v>17.82</v>
      </c>
    </row>
    <row r="299" spans="1:3" x14ac:dyDescent="0.55000000000000004">
      <c r="A299" s="68">
        <v>828</v>
      </c>
      <c r="C299" s="68">
        <v>18.11</v>
      </c>
    </row>
    <row r="300" spans="1:3" x14ac:dyDescent="0.55000000000000004">
      <c r="A300" s="68">
        <v>828</v>
      </c>
      <c r="C300" s="68">
        <v>18.11</v>
      </c>
    </row>
    <row r="301" spans="1:3" x14ac:dyDescent="0.55000000000000004">
      <c r="A301" s="68">
        <v>828</v>
      </c>
      <c r="C301" s="68">
        <v>18.75</v>
      </c>
    </row>
    <row r="302" spans="1:3" x14ac:dyDescent="0.55000000000000004">
      <c r="A302" s="68">
        <v>828</v>
      </c>
      <c r="C302" s="68">
        <v>18.75</v>
      </c>
    </row>
    <row r="303" spans="1:3" x14ac:dyDescent="0.55000000000000004">
      <c r="A303" s="68">
        <v>828</v>
      </c>
      <c r="C303" s="68">
        <v>20.49</v>
      </c>
    </row>
    <row r="304" spans="1:3" x14ac:dyDescent="0.55000000000000004">
      <c r="A304" s="68">
        <v>828</v>
      </c>
      <c r="C304" s="68">
        <v>20.78</v>
      </c>
    </row>
    <row r="305" spans="1:3" x14ac:dyDescent="0.55000000000000004">
      <c r="A305" s="68">
        <v>828</v>
      </c>
      <c r="C305" s="68">
        <v>20.78</v>
      </c>
    </row>
    <row r="306" spans="1:3" x14ac:dyDescent="0.55000000000000004">
      <c r="A306" s="68">
        <v>234</v>
      </c>
      <c r="C306" s="68">
        <v>16.75</v>
      </c>
    </row>
    <row r="307" spans="1:3" x14ac:dyDescent="0.55000000000000004">
      <c r="A307" s="68">
        <v>234</v>
      </c>
      <c r="C307" s="68">
        <v>16.75</v>
      </c>
    </row>
    <row r="308" spans="1:3" x14ac:dyDescent="0.55000000000000004">
      <c r="A308" s="68">
        <v>234</v>
      </c>
      <c r="C308" s="68">
        <v>17</v>
      </c>
    </row>
    <row r="309" spans="1:3" x14ac:dyDescent="0.55000000000000004">
      <c r="A309" s="68">
        <v>234</v>
      </c>
      <c r="C309" s="68">
        <v>17</v>
      </c>
    </row>
    <row r="310" spans="1:3" x14ac:dyDescent="0.55000000000000004">
      <c r="A310" s="68">
        <v>234</v>
      </c>
      <c r="C310" s="68">
        <v>18</v>
      </c>
    </row>
    <row r="311" spans="1:3" x14ac:dyDescent="0.55000000000000004">
      <c r="A311" s="68">
        <v>234</v>
      </c>
      <c r="C311" s="68">
        <v>18.5</v>
      </c>
    </row>
    <row r="312" spans="1:3" x14ac:dyDescent="0.55000000000000004">
      <c r="A312" s="68">
        <v>234</v>
      </c>
      <c r="C312" s="68">
        <v>19</v>
      </c>
    </row>
    <row r="313" spans="1:3" x14ac:dyDescent="0.55000000000000004">
      <c r="A313" s="68">
        <v>234</v>
      </c>
      <c r="C313" s="68">
        <v>19</v>
      </c>
    </row>
    <row r="314" spans="1:3" x14ac:dyDescent="0.55000000000000004">
      <c r="A314" s="68">
        <v>234</v>
      </c>
      <c r="C314" s="68">
        <v>19</v>
      </c>
    </row>
    <row r="315" spans="1:3" x14ac:dyDescent="0.55000000000000004">
      <c r="A315" s="68">
        <v>234</v>
      </c>
      <c r="C315" s="68">
        <v>19</v>
      </c>
    </row>
    <row r="316" spans="1:3" x14ac:dyDescent="0.55000000000000004">
      <c r="A316" s="68">
        <v>234</v>
      </c>
      <c r="C316" s="68">
        <v>20</v>
      </c>
    </row>
    <row r="317" spans="1:3" x14ac:dyDescent="0.55000000000000004">
      <c r="A317" s="68">
        <v>535</v>
      </c>
      <c r="C317" s="68">
        <v>22.64</v>
      </c>
    </row>
    <row r="318" spans="1:3" x14ac:dyDescent="0.55000000000000004">
      <c r="A318" s="68">
        <v>535</v>
      </c>
      <c r="C318" s="68">
        <v>22.64</v>
      </c>
    </row>
    <row r="319" spans="1:3" x14ac:dyDescent="0.55000000000000004">
      <c r="A319" s="68">
        <v>535</v>
      </c>
      <c r="C319" s="68">
        <v>22.2</v>
      </c>
    </row>
    <row r="320" spans="1:3" x14ac:dyDescent="0.55000000000000004">
      <c r="A320" s="68">
        <v>535</v>
      </c>
      <c r="C320" s="68">
        <v>21.98</v>
      </c>
    </row>
    <row r="321" spans="1:3" x14ac:dyDescent="0.55000000000000004">
      <c r="A321" s="68">
        <v>535</v>
      </c>
      <c r="C321" s="68">
        <v>21.98</v>
      </c>
    </row>
    <row r="322" spans="1:3" x14ac:dyDescent="0.55000000000000004">
      <c r="A322" s="68">
        <v>535</v>
      </c>
      <c r="C322" s="68">
        <v>21.76</v>
      </c>
    </row>
    <row r="323" spans="1:3" x14ac:dyDescent="0.55000000000000004">
      <c r="A323" s="68">
        <v>535</v>
      </c>
      <c r="C323" s="68">
        <v>21.34</v>
      </c>
    </row>
    <row r="324" spans="1:3" x14ac:dyDescent="0.55000000000000004">
      <c r="A324" s="68">
        <v>535</v>
      </c>
      <c r="C324" s="68">
        <v>21.34</v>
      </c>
    </row>
    <row r="325" spans="1:3" x14ac:dyDescent="0.55000000000000004">
      <c r="A325" s="68">
        <v>535</v>
      </c>
      <c r="C325" s="68">
        <v>21.34</v>
      </c>
    </row>
    <row r="326" spans="1:3" x14ac:dyDescent="0.55000000000000004">
      <c r="A326" s="68">
        <v>535</v>
      </c>
      <c r="C326" s="68">
        <v>21.34</v>
      </c>
    </row>
    <row r="327" spans="1:3" x14ac:dyDescent="0.55000000000000004">
      <c r="A327" s="68">
        <v>535</v>
      </c>
      <c r="C327" s="68">
        <v>19.32</v>
      </c>
    </row>
    <row r="328" spans="1:3" x14ac:dyDescent="0.55000000000000004">
      <c r="A328" s="68">
        <v>535</v>
      </c>
      <c r="C328" s="68">
        <v>18.940000000000001</v>
      </c>
    </row>
    <row r="329" spans="1:3" x14ac:dyDescent="0.55000000000000004">
      <c r="A329" s="68">
        <v>535</v>
      </c>
      <c r="C329" s="68">
        <v>18.57</v>
      </c>
    </row>
    <row r="330" spans="1:3" x14ac:dyDescent="0.55000000000000004">
      <c r="A330" s="68">
        <v>535</v>
      </c>
      <c r="C330" s="68">
        <v>18.57</v>
      </c>
    </row>
    <row r="331" spans="1:3" x14ac:dyDescent="0.55000000000000004">
      <c r="A331" s="68">
        <v>535</v>
      </c>
      <c r="C331" s="68">
        <v>18.57</v>
      </c>
    </row>
    <row r="332" spans="1:3" x14ac:dyDescent="0.55000000000000004">
      <c r="A332" s="68">
        <v>535</v>
      </c>
      <c r="C332" s="68">
        <v>18.21</v>
      </c>
    </row>
    <row r="333" spans="1:3" x14ac:dyDescent="0.55000000000000004">
      <c r="A333" s="68">
        <v>535</v>
      </c>
      <c r="C333" s="68">
        <v>18.21</v>
      </c>
    </row>
    <row r="334" spans="1:3" x14ac:dyDescent="0.55000000000000004">
      <c r="A334" s="68">
        <v>535</v>
      </c>
      <c r="C334" s="68">
        <v>18.21</v>
      </c>
    </row>
    <row r="335" spans="1:3" x14ac:dyDescent="0.55000000000000004">
      <c r="A335" s="68">
        <v>535</v>
      </c>
      <c r="C335" s="68">
        <v>18.21</v>
      </c>
    </row>
    <row r="336" spans="1:3" x14ac:dyDescent="0.55000000000000004">
      <c r="A336" s="68">
        <v>535</v>
      </c>
      <c r="C336" s="68">
        <v>18.21</v>
      </c>
    </row>
    <row r="337" spans="1:3" x14ac:dyDescent="0.55000000000000004">
      <c r="A337" s="68">
        <v>535</v>
      </c>
      <c r="C337" s="68">
        <v>18.21</v>
      </c>
    </row>
    <row r="338" spans="1:3" x14ac:dyDescent="0.55000000000000004">
      <c r="A338" s="68">
        <v>535</v>
      </c>
      <c r="C338" s="68">
        <v>18.21</v>
      </c>
    </row>
    <row r="339" spans="1:3" x14ac:dyDescent="0.55000000000000004">
      <c r="A339" s="68">
        <v>535</v>
      </c>
      <c r="C339" s="68">
        <v>18.21</v>
      </c>
    </row>
    <row r="340" spans="1:3" x14ac:dyDescent="0.55000000000000004">
      <c r="A340" s="68">
        <v>535</v>
      </c>
      <c r="C340" s="68">
        <v>17.850000000000001</v>
      </c>
    </row>
    <row r="341" spans="1:3" x14ac:dyDescent="0.55000000000000004">
      <c r="A341" s="68">
        <v>535</v>
      </c>
      <c r="C341" s="68">
        <v>17.850000000000001</v>
      </c>
    </row>
    <row r="342" spans="1:3" x14ac:dyDescent="0.55000000000000004">
      <c r="A342" s="68">
        <v>535</v>
      </c>
      <c r="C342" s="68">
        <v>17.850000000000001</v>
      </c>
    </row>
    <row r="343" spans="1:3" x14ac:dyDescent="0.55000000000000004">
      <c r="A343" s="68">
        <v>535</v>
      </c>
      <c r="C343" s="68">
        <v>17.850000000000001</v>
      </c>
    </row>
    <row r="344" spans="1:3" x14ac:dyDescent="0.55000000000000004">
      <c r="A344" s="68">
        <v>535</v>
      </c>
      <c r="C344" s="68">
        <v>17.850000000000001</v>
      </c>
    </row>
    <row r="345" spans="1:3" x14ac:dyDescent="0.55000000000000004">
      <c r="A345" s="68">
        <v>535</v>
      </c>
      <c r="C345" s="68">
        <v>17.850000000000001</v>
      </c>
    </row>
    <row r="346" spans="1:3" x14ac:dyDescent="0.55000000000000004">
      <c r="A346" s="68">
        <v>535</v>
      </c>
      <c r="C346" s="68">
        <v>17.850000000000001</v>
      </c>
    </row>
    <row r="347" spans="1:3" x14ac:dyDescent="0.55000000000000004">
      <c r="A347" s="68">
        <v>535</v>
      </c>
      <c r="C347" s="68">
        <v>17.850000000000001</v>
      </c>
    </row>
    <row r="348" spans="1:3" x14ac:dyDescent="0.55000000000000004">
      <c r="A348" s="68">
        <v>535</v>
      </c>
      <c r="C348" s="68">
        <v>17.850000000000001</v>
      </c>
    </row>
    <row r="349" spans="1:3" x14ac:dyDescent="0.55000000000000004">
      <c r="A349" s="68">
        <v>535</v>
      </c>
      <c r="C349" s="68">
        <v>17.850000000000001</v>
      </c>
    </row>
    <row r="350" spans="1:3" x14ac:dyDescent="0.55000000000000004">
      <c r="A350" s="68">
        <v>535</v>
      </c>
      <c r="C350" s="68">
        <v>17.850000000000001</v>
      </c>
    </row>
    <row r="351" spans="1:3" x14ac:dyDescent="0.55000000000000004">
      <c r="A351" s="68">
        <v>535</v>
      </c>
      <c r="C351" s="68">
        <v>17.850000000000001</v>
      </c>
    </row>
    <row r="352" spans="1:3" x14ac:dyDescent="0.55000000000000004">
      <c r="A352" s="68">
        <v>535</v>
      </c>
      <c r="C352" s="68">
        <v>17.850000000000001</v>
      </c>
    </row>
    <row r="353" spans="1:3" x14ac:dyDescent="0.55000000000000004">
      <c r="A353" s="68">
        <v>535</v>
      </c>
      <c r="C353" s="68">
        <v>17.850000000000001</v>
      </c>
    </row>
    <row r="354" spans="1:3" x14ac:dyDescent="0.55000000000000004">
      <c r="A354" s="68">
        <v>535</v>
      </c>
      <c r="C354" s="68">
        <v>17.850000000000001</v>
      </c>
    </row>
    <row r="355" spans="1:3" x14ac:dyDescent="0.55000000000000004">
      <c r="A355" s="68">
        <v>535</v>
      </c>
      <c r="C355" s="68">
        <v>17.850000000000001</v>
      </c>
    </row>
    <row r="356" spans="1:3" x14ac:dyDescent="0.55000000000000004">
      <c r="A356" s="68">
        <v>535</v>
      </c>
      <c r="C356" s="68">
        <v>17.850000000000001</v>
      </c>
    </row>
    <row r="357" spans="1:3" x14ac:dyDescent="0.55000000000000004">
      <c r="A357" s="68">
        <v>535</v>
      </c>
      <c r="C357" s="68">
        <v>17.850000000000001</v>
      </c>
    </row>
    <row r="358" spans="1:3" x14ac:dyDescent="0.55000000000000004">
      <c r="A358" s="68">
        <v>535</v>
      </c>
      <c r="C358" s="68">
        <v>17.850000000000001</v>
      </c>
    </row>
    <row r="359" spans="1:3" x14ac:dyDescent="0.55000000000000004">
      <c r="A359" s="68">
        <v>535</v>
      </c>
      <c r="C359" s="68">
        <v>17.850000000000001</v>
      </c>
    </row>
    <row r="360" spans="1:3" x14ac:dyDescent="0.55000000000000004">
      <c r="A360" s="68">
        <v>535</v>
      </c>
      <c r="C360" s="68">
        <v>17.850000000000001</v>
      </c>
    </row>
    <row r="361" spans="1:3" x14ac:dyDescent="0.55000000000000004">
      <c r="A361" s="68">
        <v>535</v>
      </c>
      <c r="C361" s="68">
        <v>17.850000000000001</v>
      </c>
    </row>
    <row r="362" spans="1:3" x14ac:dyDescent="0.55000000000000004">
      <c r="A362" s="68">
        <v>535</v>
      </c>
      <c r="C362" s="68">
        <v>17.850000000000001</v>
      </c>
    </row>
    <row r="363" spans="1:3" x14ac:dyDescent="0.55000000000000004">
      <c r="A363" s="68">
        <v>590</v>
      </c>
      <c r="C363" s="68">
        <v>19.25</v>
      </c>
    </row>
    <row r="364" spans="1:3" x14ac:dyDescent="0.55000000000000004">
      <c r="A364" s="68">
        <v>590</v>
      </c>
      <c r="C364" s="68">
        <v>19.25</v>
      </c>
    </row>
    <row r="365" spans="1:3" x14ac:dyDescent="0.55000000000000004">
      <c r="A365" s="68">
        <v>590</v>
      </c>
      <c r="C365" s="68">
        <v>25</v>
      </c>
    </row>
    <row r="366" spans="1:3" x14ac:dyDescent="0.55000000000000004">
      <c r="A366" s="68">
        <v>590</v>
      </c>
      <c r="C366" s="68">
        <v>23.75</v>
      </c>
    </row>
    <row r="367" spans="1:3" x14ac:dyDescent="0.55000000000000004">
      <c r="A367" s="68">
        <v>590</v>
      </c>
      <c r="C367" s="68">
        <v>18.75</v>
      </c>
    </row>
    <row r="368" spans="1:3" x14ac:dyDescent="0.55000000000000004">
      <c r="A368" s="68">
        <v>590</v>
      </c>
      <c r="C368" s="68">
        <v>18.75</v>
      </c>
    </row>
    <row r="369" spans="1:3" x14ac:dyDescent="0.55000000000000004">
      <c r="A369" s="68">
        <v>590</v>
      </c>
      <c r="C369" s="68">
        <v>22.75</v>
      </c>
    </row>
    <row r="370" spans="1:3" x14ac:dyDescent="0.55000000000000004">
      <c r="A370" s="68">
        <v>590</v>
      </c>
      <c r="C370" s="68">
        <v>20</v>
      </c>
    </row>
    <row r="371" spans="1:3" x14ac:dyDescent="0.55000000000000004">
      <c r="A371" s="68">
        <v>590</v>
      </c>
      <c r="C371" s="68">
        <v>16.25</v>
      </c>
    </row>
    <row r="372" spans="1:3" x14ac:dyDescent="0.55000000000000004">
      <c r="A372" s="68">
        <v>590</v>
      </c>
      <c r="C372" s="68">
        <v>16.25</v>
      </c>
    </row>
    <row r="373" spans="1:3" x14ac:dyDescent="0.55000000000000004">
      <c r="A373" s="68">
        <v>590</v>
      </c>
      <c r="C373" s="68">
        <v>20.5</v>
      </c>
    </row>
    <row r="374" spans="1:3" x14ac:dyDescent="0.55000000000000004">
      <c r="A374" s="68">
        <v>590</v>
      </c>
      <c r="C374" s="68">
        <v>16.25</v>
      </c>
    </row>
    <row r="375" spans="1:3" x14ac:dyDescent="0.55000000000000004">
      <c r="A375" s="68">
        <v>590</v>
      </c>
      <c r="C375" s="68">
        <v>19.25</v>
      </c>
    </row>
    <row r="376" spans="1:3" x14ac:dyDescent="0.55000000000000004">
      <c r="A376" s="68">
        <v>590</v>
      </c>
      <c r="C376" s="68">
        <v>20</v>
      </c>
    </row>
    <row r="377" spans="1:3" x14ac:dyDescent="0.55000000000000004">
      <c r="A377" s="68">
        <v>590</v>
      </c>
      <c r="C377" s="68">
        <v>22.77</v>
      </c>
    </row>
    <row r="378" spans="1:3" x14ac:dyDescent="0.55000000000000004">
      <c r="A378" s="68">
        <v>590</v>
      </c>
      <c r="C378" s="68">
        <v>19.25</v>
      </c>
    </row>
    <row r="379" spans="1:3" x14ac:dyDescent="0.55000000000000004">
      <c r="A379" s="68">
        <v>590</v>
      </c>
      <c r="C379" s="68">
        <v>25</v>
      </c>
    </row>
    <row r="380" spans="1:3" x14ac:dyDescent="0.55000000000000004">
      <c r="A380" s="68">
        <v>590</v>
      </c>
      <c r="C380" s="68">
        <v>19.5</v>
      </c>
    </row>
    <row r="381" spans="1:3" x14ac:dyDescent="0.55000000000000004">
      <c r="A381" s="68">
        <v>590</v>
      </c>
      <c r="C381" s="68">
        <v>19.25</v>
      </c>
    </row>
    <row r="382" spans="1:3" x14ac:dyDescent="0.55000000000000004">
      <c r="A382" s="68">
        <v>590</v>
      </c>
      <c r="C382" s="68">
        <v>25.5</v>
      </c>
    </row>
    <row r="383" spans="1:3" x14ac:dyDescent="0.55000000000000004">
      <c r="A383" s="68">
        <v>590</v>
      </c>
      <c r="C383" s="68">
        <v>19.5</v>
      </c>
    </row>
    <row r="384" spans="1:3" x14ac:dyDescent="0.55000000000000004">
      <c r="A384" s="68">
        <v>590</v>
      </c>
      <c r="C384" s="68">
        <v>25</v>
      </c>
    </row>
    <row r="385" spans="1:3" x14ac:dyDescent="0.55000000000000004">
      <c r="A385" s="68">
        <v>590</v>
      </c>
      <c r="C385" s="68">
        <v>19.25</v>
      </c>
    </row>
    <row r="386" spans="1:3" x14ac:dyDescent="0.55000000000000004">
      <c r="A386" s="68">
        <v>590</v>
      </c>
      <c r="C386" s="68">
        <v>20.25</v>
      </c>
    </row>
    <row r="387" spans="1:3" x14ac:dyDescent="0.55000000000000004">
      <c r="A387" s="68">
        <v>590</v>
      </c>
      <c r="C387" s="68">
        <v>25</v>
      </c>
    </row>
    <row r="388" spans="1:3" x14ac:dyDescent="0.55000000000000004">
      <c r="A388" s="68">
        <v>590</v>
      </c>
      <c r="C388" s="68">
        <v>23.64</v>
      </c>
    </row>
    <row r="389" spans="1:3" x14ac:dyDescent="0.55000000000000004">
      <c r="A389" s="68">
        <v>590</v>
      </c>
      <c r="C389" s="68">
        <v>25</v>
      </c>
    </row>
    <row r="390" spans="1:3" x14ac:dyDescent="0.55000000000000004">
      <c r="A390" s="68">
        <v>590</v>
      </c>
      <c r="C390" s="68">
        <v>19.25</v>
      </c>
    </row>
    <row r="391" spans="1:3" x14ac:dyDescent="0.55000000000000004">
      <c r="A391" s="68">
        <v>590</v>
      </c>
      <c r="C391" s="68">
        <v>20.25</v>
      </c>
    </row>
    <row r="392" spans="1:3" x14ac:dyDescent="0.55000000000000004">
      <c r="A392" s="68">
        <v>590</v>
      </c>
      <c r="C392" s="68">
        <v>22.71</v>
      </c>
    </row>
    <row r="393" spans="1:3" x14ac:dyDescent="0.55000000000000004">
      <c r="A393" s="68">
        <v>590</v>
      </c>
      <c r="C393" s="68">
        <v>19.5</v>
      </c>
    </row>
    <row r="394" spans="1:3" x14ac:dyDescent="0.55000000000000004">
      <c r="A394" s="68">
        <v>590</v>
      </c>
      <c r="C394" s="68">
        <v>19.25</v>
      </c>
    </row>
    <row r="395" spans="1:3" x14ac:dyDescent="0.55000000000000004">
      <c r="A395" s="68">
        <v>590</v>
      </c>
      <c r="C395" s="68">
        <v>25</v>
      </c>
    </row>
    <row r="396" spans="1:3" x14ac:dyDescent="0.55000000000000004">
      <c r="A396" s="68">
        <v>315</v>
      </c>
      <c r="C396" s="68">
        <v>16.940000000000001</v>
      </c>
    </row>
    <row r="397" spans="1:3" x14ac:dyDescent="0.55000000000000004">
      <c r="A397" s="68">
        <v>315</v>
      </c>
      <c r="C397" s="68">
        <v>16.940000000000001</v>
      </c>
    </row>
    <row r="398" spans="1:3" x14ac:dyDescent="0.55000000000000004">
      <c r="A398" s="68">
        <v>315</v>
      </c>
      <c r="C398" s="68">
        <v>16.940000000000001</v>
      </c>
    </row>
    <row r="399" spans="1:3" x14ac:dyDescent="0.55000000000000004">
      <c r="A399" s="68">
        <v>315</v>
      </c>
      <c r="C399" s="68">
        <v>16.940000000000001</v>
      </c>
    </row>
    <row r="400" spans="1:3" x14ac:dyDescent="0.55000000000000004">
      <c r="A400" s="68">
        <v>315</v>
      </c>
      <c r="C400" s="68">
        <v>16.940000000000001</v>
      </c>
    </row>
    <row r="401" spans="1:3" x14ac:dyDescent="0.55000000000000004">
      <c r="A401" s="68">
        <v>315</v>
      </c>
      <c r="C401" s="68">
        <v>16.940000000000001</v>
      </c>
    </row>
    <row r="402" spans="1:3" x14ac:dyDescent="0.55000000000000004">
      <c r="A402" s="68">
        <v>315</v>
      </c>
      <c r="C402" s="68">
        <v>16.940000000000001</v>
      </c>
    </row>
    <row r="403" spans="1:3" x14ac:dyDescent="0.55000000000000004">
      <c r="A403" s="68">
        <v>315</v>
      </c>
      <c r="C403" s="68">
        <v>16.940000000000001</v>
      </c>
    </row>
    <row r="404" spans="1:3" x14ac:dyDescent="0.55000000000000004">
      <c r="A404" s="68">
        <v>315</v>
      </c>
      <c r="C404" s="68">
        <v>16.940000000000001</v>
      </c>
    </row>
    <row r="405" spans="1:3" x14ac:dyDescent="0.55000000000000004">
      <c r="A405" s="68">
        <v>315</v>
      </c>
      <c r="C405" s="68">
        <v>16.940000000000001</v>
      </c>
    </row>
    <row r="406" spans="1:3" x14ac:dyDescent="0.55000000000000004">
      <c r="A406" s="68">
        <v>315</v>
      </c>
      <c r="C406" s="68">
        <v>16.940000000000001</v>
      </c>
    </row>
    <row r="407" spans="1:3" x14ac:dyDescent="0.55000000000000004">
      <c r="A407" s="68">
        <v>315</v>
      </c>
      <c r="C407" s="68">
        <v>16.940000000000001</v>
      </c>
    </row>
    <row r="408" spans="1:3" x14ac:dyDescent="0.55000000000000004">
      <c r="A408" s="68">
        <v>315</v>
      </c>
      <c r="C408" s="68">
        <v>16.940000000000001</v>
      </c>
    </row>
    <row r="409" spans="1:3" x14ac:dyDescent="0.55000000000000004">
      <c r="A409" s="68">
        <v>315</v>
      </c>
      <c r="C409" s="68">
        <v>16.940000000000001</v>
      </c>
    </row>
    <row r="410" spans="1:3" x14ac:dyDescent="0.55000000000000004">
      <c r="A410" s="68">
        <v>315</v>
      </c>
      <c r="C410" s="68">
        <v>16.940000000000001</v>
      </c>
    </row>
    <row r="411" spans="1:3" x14ac:dyDescent="0.55000000000000004">
      <c r="A411" s="68">
        <v>315</v>
      </c>
      <c r="C411" s="68">
        <v>17.45</v>
      </c>
    </row>
    <row r="412" spans="1:3" x14ac:dyDescent="0.55000000000000004">
      <c r="A412" s="68">
        <v>315</v>
      </c>
      <c r="C412" s="68">
        <v>17.45</v>
      </c>
    </row>
    <row r="413" spans="1:3" x14ac:dyDescent="0.55000000000000004">
      <c r="A413" s="68">
        <v>315</v>
      </c>
      <c r="C413" s="68">
        <v>17.45</v>
      </c>
    </row>
    <row r="414" spans="1:3" x14ac:dyDescent="0.55000000000000004">
      <c r="A414" s="68">
        <v>315</v>
      </c>
      <c r="C414" s="68">
        <v>17.45</v>
      </c>
    </row>
    <row r="415" spans="1:3" x14ac:dyDescent="0.55000000000000004">
      <c r="A415" s="68">
        <v>315</v>
      </c>
      <c r="C415" s="68">
        <v>17.45</v>
      </c>
    </row>
    <row r="416" spans="1:3" x14ac:dyDescent="0.55000000000000004">
      <c r="A416" s="68">
        <v>315</v>
      </c>
      <c r="C416" s="68">
        <v>17.45</v>
      </c>
    </row>
    <row r="417" spans="1:3" x14ac:dyDescent="0.55000000000000004">
      <c r="A417" s="68">
        <v>315</v>
      </c>
      <c r="C417" s="68">
        <v>17.45</v>
      </c>
    </row>
    <row r="418" spans="1:3" x14ac:dyDescent="0.55000000000000004">
      <c r="A418" s="68">
        <v>315</v>
      </c>
      <c r="C418" s="68">
        <v>17.45</v>
      </c>
    </row>
    <row r="419" spans="1:3" x14ac:dyDescent="0.55000000000000004">
      <c r="A419" s="68">
        <v>315</v>
      </c>
      <c r="C419" s="68">
        <v>17.45</v>
      </c>
    </row>
    <row r="420" spans="1:3" x14ac:dyDescent="0.55000000000000004">
      <c r="A420" s="68">
        <v>315</v>
      </c>
      <c r="C420" s="68">
        <v>17.45</v>
      </c>
    </row>
    <row r="421" spans="1:3" x14ac:dyDescent="0.55000000000000004">
      <c r="A421" s="68">
        <v>315</v>
      </c>
      <c r="C421" s="68">
        <v>18.45</v>
      </c>
    </row>
    <row r="422" spans="1:3" x14ac:dyDescent="0.55000000000000004">
      <c r="A422" s="68">
        <v>315</v>
      </c>
      <c r="C422" s="68">
        <v>18.95</v>
      </c>
    </row>
    <row r="423" spans="1:3" x14ac:dyDescent="0.55000000000000004">
      <c r="A423" s="68">
        <v>315</v>
      </c>
      <c r="C423" s="68">
        <v>23.76</v>
      </c>
    </row>
    <row r="424" spans="1:3" x14ac:dyDescent="0.55000000000000004">
      <c r="A424" s="68">
        <v>315</v>
      </c>
      <c r="C424" s="68">
        <v>24.41</v>
      </c>
    </row>
    <row r="425" spans="1:3" x14ac:dyDescent="0.55000000000000004">
      <c r="A425" s="68">
        <v>315</v>
      </c>
      <c r="C425" s="68">
        <v>25.15</v>
      </c>
    </row>
    <row r="426" spans="1:3" x14ac:dyDescent="0.55000000000000004">
      <c r="A426" s="68">
        <v>315</v>
      </c>
      <c r="C426" s="68">
        <v>25.15</v>
      </c>
    </row>
    <row r="427" spans="1:3" x14ac:dyDescent="0.55000000000000004">
      <c r="A427" s="68">
        <v>315</v>
      </c>
      <c r="C427" s="68">
        <v>25.9</v>
      </c>
    </row>
    <row r="428" spans="1:3" x14ac:dyDescent="0.55000000000000004">
      <c r="A428" s="68">
        <v>315</v>
      </c>
      <c r="C428" s="68">
        <v>25.9</v>
      </c>
    </row>
    <row r="429" spans="1:3" x14ac:dyDescent="0.55000000000000004">
      <c r="A429" s="68">
        <v>817</v>
      </c>
      <c r="C429" s="68">
        <v>17.780313575930919</v>
      </c>
    </row>
    <row r="430" spans="1:3" x14ac:dyDescent="0.55000000000000004">
      <c r="A430" s="68">
        <v>817</v>
      </c>
      <c r="C430" s="68">
        <v>18.59192973835281</v>
      </c>
    </row>
    <row r="431" spans="1:3" x14ac:dyDescent="0.55000000000000004">
      <c r="A431" s="68">
        <v>817</v>
      </c>
      <c r="C431" s="68">
        <v>17.340319703819357</v>
      </c>
    </row>
    <row r="432" spans="1:3" x14ac:dyDescent="0.55000000000000004">
      <c r="A432" s="68">
        <v>817</v>
      </c>
      <c r="C432" s="68">
        <v>17.690109181141441</v>
      </c>
    </row>
    <row r="433" spans="1:3" x14ac:dyDescent="0.55000000000000004">
      <c r="A433" s="68">
        <v>817</v>
      </c>
      <c r="C433" s="68">
        <v>20.3134070096221</v>
      </c>
    </row>
    <row r="434" spans="1:3" x14ac:dyDescent="0.55000000000000004">
      <c r="A434" s="68">
        <v>817</v>
      </c>
      <c r="C434" s="68">
        <v>17.690000000000001</v>
      </c>
    </row>
    <row r="435" spans="1:3" x14ac:dyDescent="0.55000000000000004">
      <c r="A435" s="68">
        <v>817</v>
      </c>
      <c r="C435" s="68">
        <v>18.133647426579383</v>
      </c>
    </row>
    <row r="436" spans="1:3" x14ac:dyDescent="0.55000000000000004">
      <c r="A436" s="68">
        <v>817</v>
      </c>
      <c r="C436" s="68">
        <v>18.5921093945854</v>
      </c>
    </row>
    <row r="437" spans="1:3" x14ac:dyDescent="0.55000000000000004">
      <c r="A437" s="68">
        <v>817</v>
      </c>
      <c r="C437" s="68">
        <v>21.212546670511848</v>
      </c>
    </row>
    <row r="438" spans="1:3" x14ac:dyDescent="0.55000000000000004">
      <c r="A438" s="68">
        <v>817</v>
      </c>
      <c r="C438" s="68">
        <v>21.074563325714671</v>
      </c>
    </row>
    <row r="439" spans="1:3" x14ac:dyDescent="0.55000000000000004">
      <c r="A439" s="68">
        <v>817</v>
      </c>
      <c r="C439" s="68">
        <v>21.939822362685284</v>
      </c>
    </row>
    <row r="440" spans="1:3" x14ac:dyDescent="0.55000000000000004">
      <c r="A440" s="68">
        <v>817</v>
      </c>
      <c r="C440" s="68">
        <v>21.074861235189218</v>
      </c>
    </row>
    <row r="441" spans="1:3" x14ac:dyDescent="0.55000000000000004">
      <c r="A441" s="68">
        <v>817</v>
      </c>
      <c r="C441" s="68">
        <v>20.946371144926655</v>
      </c>
    </row>
    <row r="442" spans="1:3" x14ac:dyDescent="0.55000000000000004">
      <c r="A442" s="68">
        <v>817</v>
      </c>
      <c r="C442" s="68">
        <v>21.057737375414334</v>
      </c>
    </row>
    <row r="443" spans="1:3" x14ac:dyDescent="0.55000000000000004">
      <c r="A443" s="68">
        <v>817</v>
      </c>
      <c r="C443" s="68">
        <v>18.311205905639479</v>
      </c>
    </row>
    <row r="444" spans="1:3" x14ac:dyDescent="0.55000000000000004">
      <c r="A444" s="68">
        <v>817</v>
      </c>
      <c r="C444" s="68">
        <v>21.547230096560337</v>
      </c>
    </row>
    <row r="445" spans="1:3" x14ac:dyDescent="0.55000000000000004">
      <c r="A445" s="68">
        <v>817</v>
      </c>
      <c r="C445" s="68">
        <v>18.592218349909473</v>
      </c>
    </row>
    <row r="446" spans="1:3" x14ac:dyDescent="0.55000000000000004">
      <c r="A446" s="68">
        <v>817</v>
      </c>
      <c r="C446" s="68">
        <v>18.745016487455178</v>
      </c>
    </row>
    <row r="447" spans="1:3" x14ac:dyDescent="0.55000000000000004">
      <c r="A447" s="68">
        <v>817</v>
      </c>
      <c r="C447" s="68">
        <v>20.946319786361066</v>
      </c>
    </row>
    <row r="448" spans="1:3" x14ac:dyDescent="0.55000000000000004">
      <c r="A448" s="68">
        <v>421</v>
      </c>
      <c r="C448" s="68">
        <v>19.93</v>
      </c>
    </row>
    <row r="449" spans="1:3" x14ac:dyDescent="0.55000000000000004">
      <c r="A449" s="68">
        <v>421</v>
      </c>
      <c r="C449" s="68">
        <v>19.510000000000002</v>
      </c>
    </row>
    <row r="450" spans="1:3" x14ac:dyDescent="0.55000000000000004">
      <c r="A450" s="68">
        <v>421</v>
      </c>
      <c r="C450" s="68">
        <v>19.350000000000001</v>
      </c>
    </row>
    <row r="451" spans="1:3" x14ac:dyDescent="0.55000000000000004">
      <c r="A451" s="68">
        <v>421</v>
      </c>
      <c r="C451" s="68">
        <v>17.32</v>
      </c>
    </row>
    <row r="452" spans="1:3" x14ac:dyDescent="0.55000000000000004">
      <c r="A452" s="68">
        <v>421</v>
      </c>
      <c r="C452" s="68">
        <v>21.47</v>
      </c>
    </row>
    <row r="453" spans="1:3" x14ac:dyDescent="0.55000000000000004">
      <c r="A453" s="68">
        <v>421</v>
      </c>
      <c r="C453" s="68">
        <v>18.66</v>
      </c>
    </row>
    <row r="454" spans="1:3" x14ac:dyDescent="0.55000000000000004">
      <c r="A454" s="68">
        <v>421</v>
      </c>
      <c r="C454" s="68">
        <v>18.52</v>
      </c>
    </row>
    <row r="455" spans="1:3" x14ac:dyDescent="0.55000000000000004">
      <c r="A455" s="68">
        <v>421</v>
      </c>
      <c r="C455" s="68">
        <v>19.510000000000002</v>
      </c>
    </row>
    <row r="456" spans="1:3" x14ac:dyDescent="0.55000000000000004">
      <c r="A456" s="68">
        <v>421</v>
      </c>
      <c r="C456" s="68">
        <v>20.399999999999999</v>
      </c>
    </row>
    <row r="457" spans="1:3" x14ac:dyDescent="0.55000000000000004">
      <c r="A457" s="68">
        <v>421</v>
      </c>
      <c r="C457" s="68">
        <v>17.579999999999998</v>
      </c>
    </row>
    <row r="458" spans="1:3" x14ac:dyDescent="0.55000000000000004">
      <c r="A458" s="68">
        <v>421</v>
      </c>
      <c r="C458" s="68">
        <v>17.579999999999998</v>
      </c>
    </row>
    <row r="459" spans="1:3" x14ac:dyDescent="0.55000000000000004">
      <c r="A459" s="68">
        <v>421</v>
      </c>
      <c r="C459" s="68">
        <v>17.579999999999998</v>
      </c>
    </row>
    <row r="460" spans="1:3" x14ac:dyDescent="0.55000000000000004">
      <c r="A460" s="68">
        <v>421</v>
      </c>
      <c r="C460" s="68">
        <v>16.809999999999999</v>
      </c>
    </row>
    <row r="461" spans="1:3" x14ac:dyDescent="0.55000000000000004">
      <c r="A461" s="68">
        <v>421</v>
      </c>
      <c r="C461" s="68">
        <v>17.059999999999999</v>
      </c>
    </row>
    <row r="462" spans="1:3" x14ac:dyDescent="0.55000000000000004">
      <c r="A462" s="68">
        <v>452</v>
      </c>
      <c r="C462" s="68">
        <v>19.010000000000002</v>
      </c>
    </row>
    <row r="463" spans="1:3" x14ac:dyDescent="0.55000000000000004">
      <c r="A463" s="68">
        <v>452</v>
      </c>
      <c r="C463" s="68">
        <v>19.34</v>
      </c>
    </row>
    <row r="464" spans="1:3" x14ac:dyDescent="0.55000000000000004">
      <c r="A464" s="68">
        <v>452</v>
      </c>
      <c r="C464" s="68">
        <v>19.39</v>
      </c>
    </row>
    <row r="465" spans="1:3" x14ac:dyDescent="0.55000000000000004">
      <c r="A465" s="68">
        <v>452</v>
      </c>
      <c r="C465" s="68">
        <v>17.22</v>
      </c>
    </row>
    <row r="466" spans="1:3" x14ac:dyDescent="0.55000000000000004">
      <c r="A466" s="68">
        <v>452</v>
      </c>
      <c r="C466" s="68">
        <v>26.13</v>
      </c>
    </row>
    <row r="467" spans="1:3" x14ac:dyDescent="0.55000000000000004">
      <c r="A467" s="68">
        <v>452</v>
      </c>
      <c r="C467" s="68">
        <v>19.78</v>
      </c>
    </row>
    <row r="468" spans="1:3" x14ac:dyDescent="0.55000000000000004">
      <c r="A468" s="68">
        <v>452</v>
      </c>
      <c r="C468" s="68">
        <v>18.64</v>
      </c>
    </row>
    <row r="469" spans="1:3" x14ac:dyDescent="0.55000000000000004">
      <c r="A469" s="68">
        <v>452</v>
      </c>
      <c r="C469" s="68">
        <v>17.559999999999999</v>
      </c>
    </row>
    <row r="470" spans="1:3" x14ac:dyDescent="0.55000000000000004">
      <c r="A470" s="68">
        <v>452</v>
      </c>
      <c r="C470" s="68">
        <v>18.27</v>
      </c>
    </row>
    <row r="471" spans="1:3" x14ac:dyDescent="0.55000000000000004">
      <c r="A471" s="68">
        <v>452</v>
      </c>
      <c r="C471" s="68">
        <v>18.64</v>
      </c>
    </row>
    <row r="472" spans="1:3" x14ac:dyDescent="0.55000000000000004">
      <c r="A472" s="68">
        <v>452</v>
      </c>
      <c r="C472" s="68">
        <v>17.22</v>
      </c>
    </row>
    <row r="473" spans="1:3" x14ac:dyDescent="0.55000000000000004">
      <c r="A473" s="68">
        <v>452</v>
      </c>
      <c r="C473" s="68">
        <v>17.22</v>
      </c>
    </row>
    <row r="474" spans="1:3" x14ac:dyDescent="0.55000000000000004">
      <c r="A474" s="68">
        <v>543</v>
      </c>
      <c r="C474" s="68">
        <v>21.6</v>
      </c>
    </row>
    <row r="475" spans="1:3" x14ac:dyDescent="0.55000000000000004">
      <c r="A475" s="68">
        <v>543</v>
      </c>
      <c r="C475" s="68">
        <v>21.16</v>
      </c>
    </row>
    <row r="476" spans="1:3" x14ac:dyDescent="0.55000000000000004">
      <c r="A476" s="68">
        <v>543</v>
      </c>
      <c r="C476" s="68">
        <v>21.16</v>
      </c>
    </row>
    <row r="477" spans="1:3" x14ac:dyDescent="0.55000000000000004">
      <c r="A477" s="68">
        <v>543</v>
      </c>
      <c r="C477" s="68">
        <v>21.16</v>
      </c>
    </row>
    <row r="478" spans="1:3" x14ac:dyDescent="0.55000000000000004">
      <c r="A478" s="68">
        <v>543</v>
      </c>
      <c r="C478" s="68">
        <v>20.75</v>
      </c>
    </row>
    <row r="479" spans="1:3" x14ac:dyDescent="0.55000000000000004">
      <c r="A479" s="68">
        <v>543</v>
      </c>
      <c r="C479" s="68">
        <v>20.75</v>
      </c>
    </row>
    <row r="480" spans="1:3" x14ac:dyDescent="0.55000000000000004">
      <c r="A480" s="68">
        <v>543</v>
      </c>
      <c r="C480" s="68">
        <v>20.75</v>
      </c>
    </row>
    <row r="481" spans="1:3" x14ac:dyDescent="0.55000000000000004">
      <c r="A481" s="68">
        <v>543</v>
      </c>
      <c r="C481" s="68">
        <v>20.34</v>
      </c>
    </row>
    <row r="482" spans="1:3" x14ac:dyDescent="0.55000000000000004">
      <c r="A482" s="68">
        <v>543</v>
      </c>
      <c r="C482" s="68">
        <v>20.34</v>
      </c>
    </row>
    <row r="483" spans="1:3" x14ac:dyDescent="0.55000000000000004">
      <c r="A483" s="68">
        <v>543</v>
      </c>
      <c r="C483" s="68">
        <v>19.149999999999999</v>
      </c>
    </row>
    <row r="484" spans="1:3" x14ac:dyDescent="0.55000000000000004">
      <c r="A484" s="68">
        <v>543</v>
      </c>
      <c r="C484" s="68">
        <v>19.149999999999999</v>
      </c>
    </row>
    <row r="485" spans="1:3" x14ac:dyDescent="0.55000000000000004">
      <c r="A485" s="68">
        <v>543</v>
      </c>
      <c r="C485" s="68">
        <v>19.149999999999999</v>
      </c>
    </row>
    <row r="486" spans="1:3" x14ac:dyDescent="0.55000000000000004">
      <c r="A486" s="68">
        <v>543</v>
      </c>
      <c r="C486" s="68">
        <v>18.79</v>
      </c>
    </row>
    <row r="487" spans="1:3" x14ac:dyDescent="0.55000000000000004">
      <c r="A487" s="68">
        <v>543</v>
      </c>
      <c r="C487" s="68">
        <v>18.79</v>
      </c>
    </row>
    <row r="488" spans="1:3" x14ac:dyDescent="0.55000000000000004">
      <c r="A488" s="68">
        <v>543</v>
      </c>
      <c r="C488" s="68">
        <v>18.41</v>
      </c>
    </row>
    <row r="489" spans="1:3" x14ac:dyDescent="0.55000000000000004">
      <c r="A489" s="68">
        <v>543</v>
      </c>
      <c r="C489" s="68">
        <v>18.04</v>
      </c>
    </row>
    <row r="490" spans="1:3" x14ac:dyDescent="0.55000000000000004">
      <c r="A490" s="68">
        <v>543</v>
      </c>
      <c r="C490" s="68">
        <v>17</v>
      </c>
    </row>
    <row r="491" spans="1:3" x14ac:dyDescent="0.55000000000000004">
      <c r="A491" s="68">
        <v>766</v>
      </c>
      <c r="C491" s="68">
        <v>19.68</v>
      </c>
    </row>
    <row r="492" spans="1:3" x14ac:dyDescent="0.55000000000000004">
      <c r="A492" s="68">
        <v>766</v>
      </c>
      <c r="C492" s="68">
        <v>21.44</v>
      </c>
    </row>
    <row r="493" spans="1:3" x14ac:dyDescent="0.55000000000000004">
      <c r="A493" s="68">
        <v>766</v>
      </c>
      <c r="C493" s="68">
        <v>18.73</v>
      </c>
    </row>
    <row r="494" spans="1:3" x14ac:dyDescent="0.55000000000000004">
      <c r="A494" s="68">
        <v>766</v>
      </c>
      <c r="C494" s="68">
        <v>18.73</v>
      </c>
    </row>
    <row r="495" spans="1:3" x14ac:dyDescent="0.55000000000000004">
      <c r="A495" s="68">
        <v>766</v>
      </c>
      <c r="C495" s="68">
        <v>23.81</v>
      </c>
    </row>
    <row r="496" spans="1:3" x14ac:dyDescent="0.55000000000000004">
      <c r="A496" s="68">
        <v>766</v>
      </c>
      <c r="C496" s="68">
        <v>24.29</v>
      </c>
    </row>
    <row r="497" spans="1:3" x14ac:dyDescent="0.55000000000000004">
      <c r="A497" s="68">
        <v>766</v>
      </c>
      <c r="C497" s="68">
        <v>24.29</v>
      </c>
    </row>
    <row r="498" spans="1:3" x14ac:dyDescent="0.55000000000000004">
      <c r="A498" s="68">
        <v>766</v>
      </c>
      <c r="C498" s="68">
        <v>24.78</v>
      </c>
    </row>
    <row r="499" spans="1:3" x14ac:dyDescent="0.55000000000000004">
      <c r="A499" s="68">
        <v>766</v>
      </c>
      <c r="C499" s="68">
        <v>24.29</v>
      </c>
    </row>
    <row r="500" spans="1:3" x14ac:dyDescent="0.55000000000000004">
      <c r="A500" s="68">
        <v>766</v>
      </c>
      <c r="C500" s="68">
        <v>18.73</v>
      </c>
    </row>
    <row r="501" spans="1:3" x14ac:dyDescent="0.55000000000000004">
      <c r="A501" s="68">
        <v>766</v>
      </c>
      <c r="C501" s="68">
        <v>18.73</v>
      </c>
    </row>
    <row r="502" spans="1:3" x14ac:dyDescent="0.55000000000000004">
      <c r="A502" s="68">
        <v>766</v>
      </c>
      <c r="C502" s="68">
        <v>20.53</v>
      </c>
    </row>
    <row r="503" spans="1:3" x14ac:dyDescent="0.55000000000000004">
      <c r="A503" s="68">
        <v>953</v>
      </c>
      <c r="C503" s="68">
        <v>19</v>
      </c>
    </row>
    <row r="504" spans="1:3" x14ac:dyDescent="0.55000000000000004">
      <c r="A504" s="68">
        <v>953</v>
      </c>
      <c r="C504" s="68">
        <v>19</v>
      </c>
    </row>
    <row r="505" spans="1:3" x14ac:dyDescent="0.55000000000000004">
      <c r="A505" s="68">
        <v>953</v>
      </c>
      <c r="C505" s="68">
        <v>19</v>
      </c>
    </row>
    <row r="506" spans="1:3" x14ac:dyDescent="0.55000000000000004">
      <c r="A506" s="68">
        <v>953</v>
      </c>
      <c r="C506" s="68">
        <v>19.899999999999999</v>
      </c>
    </row>
    <row r="507" spans="1:3" x14ac:dyDescent="0.55000000000000004">
      <c r="A507" s="68">
        <v>953</v>
      </c>
      <c r="C507" s="68">
        <v>22.73</v>
      </c>
    </row>
    <row r="508" spans="1:3" x14ac:dyDescent="0.55000000000000004">
      <c r="A508" s="68">
        <v>953</v>
      </c>
      <c r="C508" s="68">
        <v>22.73</v>
      </c>
    </row>
    <row r="509" spans="1:3" x14ac:dyDescent="0.55000000000000004">
      <c r="A509" s="68">
        <v>953</v>
      </c>
      <c r="C509" s="68">
        <v>17.79</v>
      </c>
    </row>
    <row r="510" spans="1:3" x14ac:dyDescent="0.55000000000000004">
      <c r="A510" s="68">
        <v>953</v>
      </c>
      <c r="C510" s="68">
        <v>17.79</v>
      </c>
    </row>
    <row r="511" spans="1:3" x14ac:dyDescent="0.55000000000000004">
      <c r="A511" s="68">
        <v>953</v>
      </c>
      <c r="C511" s="68">
        <v>17.79</v>
      </c>
    </row>
    <row r="512" spans="1:3" x14ac:dyDescent="0.55000000000000004">
      <c r="A512" s="68">
        <v>953</v>
      </c>
      <c r="C512" s="68">
        <v>17.79</v>
      </c>
    </row>
    <row r="513" spans="1:3" x14ac:dyDescent="0.55000000000000004">
      <c r="A513" s="68">
        <v>953</v>
      </c>
      <c r="C513" s="68">
        <v>18.57</v>
      </c>
    </row>
    <row r="514" spans="1:3" x14ac:dyDescent="0.55000000000000004">
      <c r="A514" s="68">
        <v>953</v>
      </c>
      <c r="C514" s="68">
        <v>19.440000000000001</v>
      </c>
    </row>
    <row r="515" spans="1:3" x14ac:dyDescent="0.55000000000000004">
      <c r="A515" s="68">
        <v>953</v>
      </c>
      <c r="C515" s="68">
        <v>20.95</v>
      </c>
    </row>
    <row r="516" spans="1:3" x14ac:dyDescent="0.55000000000000004">
      <c r="A516" s="68">
        <v>953</v>
      </c>
      <c r="C516" s="68">
        <v>22.73</v>
      </c>
    </row>
    <row r="517" spans="1:3" x14ac:dyDescent="0.55000000000000004">
      <c r="A517" s="68">
        <v>953</v>
      </c>
      <c r="C517" s="68">
        <v>22.73</v>
      </c>
    </row>
    <row r="518" spans="1:3" x14ac:dyDescent="0.55000000000000004">
      <c r="A518" s="68">
        <v>928</v>
      </c>
      <c r="C518" s="68">
        <v>24.25</v>
      </c>
    </row>
    <row r="519" spans="1:3" x14ac:dyDescent="0.55000000000000004">
      <c r="A519" s="68">
        <v>928</v>
      </c>
      <c r="C519" s="68">
        <v>24.25</v>
      </c>
    </row>
    <row r="520" spans="1:3" x14ac:dyDescent="0.55000000000000004">
      <c r="A520" s="68">
        <v>928</v>
      </c>
      <c r="C520" s="68">
        <v>24.25</v>
      </c>
    </row>
    <row r="521" spans="1:3" x14ac:dyDescent="0.55000000000000004">
      <c r="A521" s="68">
        <v>928</v>
      </c>
      <c r="C521" s="68">
        <v>24.25</v>
      </c>
    </row>
    <row r="522" spans="1:3" x14ac:dyDescent="0.55000000000000004">
      <c r="A522" s="68">
        <v>928</v>
      </c>
      <c r="C522" s="68">
        <v>24.25</v>
      </c>
    </row>
    <row r="523" spans="1:3" x14ac:dyDescent="0.55000000000000004">
      <c r="A523" s="68">
        <v>928</v>
      </c>
      <c r="C523" s="68">
        <v>24.25</v>
      </c>
    </row>
    <row r="524" spans="1:3" x14ac:dyDescent="0.55000000000000004">
      <c r="A524" s="68">
        <v>928</v>
      </c>
      <c r="C524" s="68">
        <v>24.25</v>
      </c>
    </row>
    <row r="525" spans="1:3" x14ac:dyDescent="0.55000000000000004">
      <c r="A525" s="68">
        <v>928</v>
      </c>
      <c r="C525" s="68">
        <v>23.9</v>
      </c>
    </row>
    <row r="526" spans="1:3" x14ac:dyDescent="0.55000000000000004">
      <c r="A526" s="68">
        <v>928</v>
      </c>
      <c r="C526" s="68">
        <v>23.5</v>
      </c>
    </row>
    <row r="527" spans="1:3" x14ac:dyDescent="0.55000000000000004">
      <c r="A527" s="68">
        <v>928</v>
      </c>
      <c r="C527" s="68">
        <v>22.7</v>
      </c>
    </row>
    <row r="528" spans="1:3" x14ac:dyDescent="0.55000000000000004">
      <c r="A528" s="68">
        <v>928</v>
      </c>
      <c r="C528" s="68">
        <v>22.7</v>
      </c>
    </row>
    <row r="529" spans="1:3" x14ac:dyDescent="0.55000000000000004">
      <c r="A529" s="68">
        <v>928</v>
      </c>
      <c r="C529" s="68">
        <v>22.7</v>
      </c>
    </row>
    <row r="530" spans="1:3" x14ac:dyDescent="0.55000000000000004">
      <c r="A530" s="68">
        <v>928</v>
      </c>
      <c r="C530" s="68">
        <v>22.25</v>
      </c>
    </row>
    <row r="531" spans="1:3" x14ac:dyDescent="0.55000000000000004">
      <c r="A531" s="68">
        <v>928</v>
      </c>
      <c r="C531" s="68">
        <v>21.75</v>
      </c>
    </row>
    <row r="532" spans="1:3" x14ac:dyDescent="0.55000000000000004">
      <c r="A532" s="68">
        <v>928</v>
      </c>
      <c r="C532" s="68">
        <v>21.75</v>
      </c>
    </row>
    <row r="533" spans="1:3" x14ac:dyDescent="0.55000000000000004">
      <c r="A533" s="68">
        <v>928</v>
      </c>
      <c r="C533" s="68">
        <v>21.3</v>
      </c>
    </row>
    <row r="534" spans="1:3" x14ac:dyDescent="0.55000000000000004">
      <c r="A534" s="68">
        <v>928</v>
      </c>
      <c r="C534" s="68">
        <v>21.3</v>
      </c>
    </row>
    <row r="535" spans="1:3" x14ac:dyDescent="0.55000000000000004">
      <c r="A535" s="68">
        <v>928</v>
      </c>
      <c r="C535" s="68">
        <v>21.3</v>
      </c>
    </row>
    <row r="536" spans="1:3" x14ac:dyDescent="0.55000000000000004">
      <c r="A536" s="68">
        <v>928</v>
      </c>
      <c r="C536" s="68">
        <v>21.3</v>
      </c>
    </row>
    <row r="537" spans="1:3" x14ac:dyDescent="0.55000000000000004">
      <c r="A537" s="68">
        <v>928</v>
      </c>
      <c r="C537" s="68">
        <v>20.9</v>
      </c>
    </row>
    <row r="538" spans="1:3" x14ac:dyDescent="0.55000000000000004">
      <c r="A538" s="68">
        <v>928</v>
      </c>
      <c r="C538" s="68">
        <v>20.45</v>
      </c>
    </row>
    <row r="539" spans="1:3" x14ac:dyDescent="0.55000000000000004">
      <c r="A539" s="68">
        <v>928</v>
      </c>
      <c r="C539" s="68">
        <v>20.05</v>
      </c>
    </row>
    <row r="540" spans="1:3" x14ac:dyDescent="0.55000000000000004">
      <c r="A540" s="68">
        <v>928</v>
      </c>
      <c r="C540" s="68">
        <v>20.05</v>
      </c>
    </row>
    <row r="541" spans="1:3" x14ac:dyDescent="0.55000000000000004">
      <c r="A541" s="68">
        <v>928</v>
      </c>
      <c r="C541" s="68">
        <v>20.05</v>
      </c>
    </row>
    <row r="542" spans="1:3" x14ac:dyDescent="0.55000000000000004">
      <c r="A542" s="68">
        <v>928</v>
      </c>
      <c r="C542" s="68">
        <v>21.25</v>
      </c>
    </row>
    <row r="543" spans="1:3" x14ac:dyDescent="0.55000000000000004">
      <c r="A543" s="68">
        <v>814</v>
      </c>
      <c r="C543" s="68">
        <v>20.5</v>
      </c>
    </row>
    <row r="544" spans="1:3" x14ac:dyDescent="0.55000000000000004">
      <c r="A544" s="68">
        <v>814</v>
      </c>
      <c r="C544" s="68">
        <v>20.5</v>
      </c>
    </row>
    <row r="545" spans="1:3" x14ac:dyDescent="0.55000000000000004">
      <c r="A545" s="68">
        <v>814</v>
      </c>
      <c r="C545" s="68">
        <v>20.5</v>
      </c>
    </row>
    <row r="546" spans="1:3" x14ac:dyDescent="0.55000000000000004">
      <c r="A546" s="68">
        <v>814</v>
      </c>
      <c r="C546" s="68">
        <v>20.75</v>
      </c>
    </row>
    <row r="547" spans="1:3" x14ac:dyDescent="0.55000000000000004">
      <c r="A547" s="68">
        <v>814</v>
      </c>
      <c r="C547" s="68">
        <v>20.75</v>
      </c>
    </row>
    <row r="548" spans="1:3" x14ac:dyDescent="0.55000000000000004">
      <c r="A548" s="68">
        <v>814</v>
      </c>
      <c r="C548" s="68">
        <v>20.75</v>
      </c>
    </row>
    <row r="549" spans="1:3" x14ac:dyDescent="0.55000000000000004">
      <c r="A549" s="68">
        <v>814</v>
      </c>
      <c r="C549" s="68">
        <v>20.75</v>
      </c>
    </row>
    <row r="550" spans="1:3" x14ac:dyDescent="0.55000000000000004">
      <c r="A550" s="68">
        <v>814</v>
      </c>
      <c r="C550" s="68">
        <v>20.75</v>
      </c>
    </row>
    <row r="551" spans="1:3" x14ac:dyDescent="0.55000000000000004">
      <c r="A551" s="68">
        <v>814</v>
      </c>
      <c r="C551" s="68">
        <v>21</v>
      </c>
    </row>
    <row r="552" spans="1:3" x14ac:dyDescent="0.55000000000000004">
      <c r="A552" s="68">
        <v>814</v>
      </c>
      <c r="C552" s="68">
        <v>21</v>
      </c>
    </row>
    <row r="553" spans="1:3" x14ac:dyDescent="0.55000000000000004">
      <c r="A553" s="68">
        <v>814</v>
      </c>
      <c r="C553" s="68">
        <v>21</v>
      </c>
    </row>
    <row r="554" spans="1:3" x14ac:dyDescent="0.55000000000000004">
      <c r="A554" s="68">
        <v>814</v>
      </c>
      <c r="C554" s="68">
        <v>21.25</v>
      </c>
    </row>
    <row r="555" spans="1:3" x14ac:dyDescent="0.55000000000000004">
      <c r="A555" s="68">
        <v>814</v>
      </c>
      <c r="C555" s="68">
        <v>21.25</v>
      </c>
    </row>
    <row r="556" spans="1:3" x14ac:dyDescent="0.55000000000000004">
      <c r="A556" s="68">
        <v>814</v>
      </c>
      <c r="C556" s="68">
        <v>21.25</v>
      </c>
    </row>
    <row r="557" spans="1:3" x14ac:dyDescent="0.55000000000000004">
      <c r="A557" s="68">
        <v>814</v>
      </c>
      <c r="C557" s="68">
        <v>21.25</v>
      </c>
    </row>
    <row r="558" spans="1:3" x14ac:dyDescent="0.55000000000000004">
      <c r="A558" s="68">
        <v>814</v>
      </c>
      <c r="C558" s="68">
        <v>21.5</v>
      </c>
    </row>
    <row r="559" spans="1:3" x14ac:dyDescent="0.55000000000000004">
      <c r="A559" s="68">
        <v>814</v>
      </c>
      <c r="C559" s="68">
        <v>21.5</v>
      </c>
    </row>
    <row r="560" spans="1:3" x14ac:dyDescent="0.55000000000000004">
      <c r="A560" s="68">
        <v>814</v>
      </c>
      <c r="C560" s="68">
        <v>21.5</v>
      </c>
    </row>
    <row r="561" spans="1:3" x14ac:dyDescent="0.55000000000000004">
      <c r="A561" s="68">
        <v>814</v>
      </c>
      <c r="C561" s="68">
        <v>21.5</v>
      </c>
    </row>
    <row r="562" spans="1:3" x14ac:dyDescent="0.55000000000000004">
      <c r="A562" s="68">
        <v>814</v>
      </c>
      <c r="C562" s="68">
        <v>21.5</v>
      </c>
    </row>
    <row r="563" spans="1:3" x14ac:dyDescent="0.55000000000000004">
      <c r="A563" s="68">
        <v>814</v>
      </c>
      <c r="C563" s="68">
        <v>21.75</v>
      </c>
    </row>
    <row r="564" spans="1:3" x14ac:dyDescent="0.55000000000000004">
      <c r="A564" s="68">
        <v>814</v>
      </c>
      <c r="C564" s="68">
        <v>21.75</v>
      </c>
    </row>
    <row r="565" spans="1:3" x14ac:dyDescent="0.55000000000000004">
      <c r="A565" s="68">
        <v>814</v>
      </c>
      <c r="C565" s="68">
        <v>21.75</v>
      </c>
    </row>
    <row r="566" spans="1:3" x14ac:dyDescent="0.55000000000000004">
      <c r="A566" s="68">
        <v>814</v>
      </c>
      <c r="C566" s="68">
        <v>21.75</v>
      </c>
    </row>
    <row r="567" spans="1:3" x14ac:dyDescent="0.55000000000000004">
      <c r="A567" s="68">
        <v>814</v>
      </c>
      <c r="C567" s="68">
        <v>22</v>
      </c>
    </row>
    <row r="568" spans="1:3" x14ac:dyDescent="0.55000000000000004">
      <c r="A568" s="68">
        <v>814</v>
      </c>
      <c r="C568" s="68">
        <v>22</v>
      </c>
    </row>
    <row r="569" spans="1:3" x14ac:dyDescent="0.55000000000000004">
      <c r="A569" s="68">
        <v>814</v>
      </c>
      <c r="C569" s="68">
        <v>22</v>
      </c>
    </row>
    <row r="570" spans="1:3" x14ac:dyDescent="0.55000000000000004">
      <c r="A570" s="68">
        <v>814</v>
      </c>
      <c r="C570" s="68">
        <v>23</v>
      </c>
    </row>
    <row r="571" spans="1:3" x14ac:dyDescent="0.55000000000000004">
      <c r="A571" s="68">
        <v>814</v>
      </c>
      <c r="C571" s="68">
        <v>23.5</v>
      </c>
    </row>
    <row r="572" spans="1:3" x14ac:dyDescent="0.55000000000000004">
      <c r="A572" s="68">
        <v>814</v>
      </c>
      <c r="C572" s="68">
        <v>23.58</v>
      </c>
    </row>
    <row r="573" spans="1:3" x14ac:dyDescent="0.55000000000000004">
      <c r="A573" s="68">
        <v>814</v>
      </c>
      <c r="C573" s="68">
        <v>23.58</v>
      </c>
    </row>
    <row r="574" spans="1:3" x14ac:dyDescent="0.55000000000000004">
      <c r="A574" s="68">
        <v>814</v>
      </c>
      <c r="C574" s="68">
        <v>23.58</v>
      </c>
    </row>
    <row r="575" spans="1:3" x14ac:dyDescent="0.55000000000000004">
      <c r="A575" s="68">
        <v>814</v>
      </c>
      <c r="C575" s="68">
        <v>23.58</v>
      </c>
    </row>
    <row r="576" spans="1:3" x14ac:dyDescent="0.55000000000000004">
      <c r="A576" s="68">
        <v>814</v>
      </c>
      <c r="C576" s="68">
        <v>23.58</v>
      </c>
    </row>
    <row r="577" spans="1:3" x14ac:dyDescent="0.55000000000000004">
      <c r="A577" s="68">
        <v>814</v>
      </c>
      <c r="C577" s="68">
        <v>23.58</v>
      </c>
    </row>
    <row r="578" spans="1:3" x14ac:dyDescent="0.55000000000000004">
      <c r="A578" s="68">
        <v>814</v>
      </c>
      <c r="C578" s="68">
        <v>23.58</v>
      </c>
    </row>
    <row r="579" spans="1:3" x14ac:dyDescent="0.55000000000000004">
      <c r="A579" s="68">
        <v>814</v>
      </c>
      <c r="C579" s="68">
        <v>23.58</v>
      </c>
    </row>
    <row r="580" spans="1:3" x14ac:dyDescent="0.55000000000000004">
      <c r="A580" s="68">
        <v>814</v>
      </c>
      <c r="C580" s="68">
        <v>23.58</v>
      </c>
    </row>
    <row r="581" spans="1:3" x14ac:dyDescent="0.55000000000000004">
      <c r="A581" s="68">
        <v>814</v>
      </c>
      <c r="C581" s="68">
        <v>23.58</v>
      </c>
    </row>
    <row r="582" spans="1:3" x14ac:dyDescent="0.55000000000000004">
      <c r="A582" s="68">
        <v>814</v>
      </c>
      <c r="C582" s="68">
        <v>23.58</v>
      </c>
    </row>
    <row r="583" spans="1:3" x14ac:dyDescent="0.55000000000000004">
      <c r="A583" s="68">
        <v>814</v>
      </c>
      <c r="C583" s="68">
        <v>23.58</v>
      </c>
    </row>
    <row r="584" spans="1:3" x14ac:dyDescent="0.55000000000000004">
      <c r="A584" s="68">
        <v>814</v>
      </c>
      <c r="C584" s="68">
        <v>23.58</v>
      </c>
    </row>
    <row r="585" spans="1:3" x14ac:dyDescent="0.55000000000000004">
      <c r="A585" s="68">
        <v>814</v>
      </c>
      <c r="C585" s="68">
        <v>23.58</v>
      </c>
    </row>
    <row r="586" spans="1:3" x14ac:dyDescent="0.55000000000000004">
      <c r="A586" s="68">
        <v>814</v>
      </c>
      <c r="C586" s="68">
        <v>23.58</v>
      </c>
    </row>
    <row r="587" spans="1:3" x14ac:dyDescent="0.55000000000000004">
      <c r="A587" s="68">
        <v>814</v>
      </c>
      <c r="C587" s="68">
        <v>23.58</v>
      </c>
    </row>
    <row r="588" spans="1:3" x14ac:dyDescent="0.55000000000000004">
      <c r="A588" s="68">
        <v>814</v>
      </c>
      <c r="C588" s="68">
        <v>23.58</v>
      </c>
    </row>
    <row r="589" spans="1:3" x14ac:dyDescent="0.55000000000000004">
      <c r="A589" s="68">
        <v>814</v>
      </c>
      <c r="C589" s="68">
        <v>23.58</v>
      </c>
    </row>
    <row r="590" spans="1:3" x14ac:dyDescent="0.55000000000000004">
      <c r="A590" s="68">
        <v>814</v>
      </c>
      <c r="C590" s="68">
        <v>23.58</v>
      </c>
    </row>
    <row r="591" spans="1:3" x14ac:dyDescent="0.55000000000000004">
      <c r="A591" s="68">
        <v>814</v>
      </c>
      <c r="C591" s="68">
        <v>23.58</v>
      </c>
    </row>
    <row r="592" spans="1:3" x14ac:dyDescent="0.55000000000000004">
      <c r="A592" s="68">
        <v>814</v>
      </c>
      <c r="C592" s="68">
        <v>23.58</v>
      </c>
    </row>
    <row r="593" spans="1:3" x14ac:dyDescent="0.55000000000000004">
      <c r="A593" s="68">
        <v>814</v>
      </c>
      <c r="C593" s="68">
        <v>23.58</v>
      </c>
    </row>
    <row r="594" spans="1:3" x14ac:dyDescent="0.55000000000000004">
      <c r="A594" s="68">
        <v>814</v>
      </c>
      <c r="C594" s="68">
        <v>23.58</v>
      </c>
    </row>
    <row r="595" spans="1:3" x14ac:dyDescent="0.55000000000000004">
      <c r="A595" s="68">
        <v>814</v>
      </c>
      <c r="C595" s="68">
        <v>23.58</v>
      </c>
    </row>
    <row r="596" spans="1:3" x14ac:dyDescent="0.55000000000000004">
      <c r="A596" s="68">
        <v>814</v>
      </c>
      <c r="C596" s="68">
        <v>23.58</v>
      </c>
    </row>
    <row r="597" spans="1:3" x14ac:dyDescent="0.55000000000000004">
      <c r="A597" s="68">
        <v>657</v>
      </c>
      <c r="C597" s="68">
        <v>22.38</v>
      </c>
    </row>
    <row r="598" spans="1:3" x14ac:dyDescent="0.55000000000000004">
      <c r="A598" s="68">
        <v>657</v>
      </c>
      <c r="C598" s="68">
        <v>22.38</v>
      </c>
    </row>
    <row r="599" spans="1:3" x14ac:dyDescent="0.55000000000000004">
      <c r="A599" s="68">
        <v>657</v>
      </c>
      <c r="C599" s="68">
        <v>21.84</v>
      </c>
    </row>
    <row r="600" spans="1:3" x14ac:dyDescent="0.55000000000000004">
      <c r="A600" s="68">
        <v>657</v>
      </c>
      <c r="C600" s="68">
        <v>18.61</v>
      </c>
    </row>
    <row r="601" spans="1:3" x14ac:dyDescent="0.55000000000000004">
      <c r="A601" s="68">
        <v>657</v>
      </c>
      <c r="C601" s="68">
        <v>19.149999999999999</v>
      </c>
    </row>
    <row r="602" spans="1:3" x14ac:dyDescent="0.55000000000000004">
      <c r="A602" s="68">
        <v>657</v>
      </c>
      <c r="C602" s="68">
        <v>22.38</v>
      </c>
    </row>
    <row r="603" spans="1:3" x14ac:dyDescent="0.55000000000000004">
      <c r="A603" s="68">
        <v>657</v>
      </c>
      <c r="C603" s="68">
        <v>21.3</v>
      </c>
    </row>
    <row r="604" spans="1:3" x14ac:dyDescent="0.55000000000000004">
      <c r="A604" s="68">
        <v>657</v>
      </c>
      <c r="C604" s="68">
        <v>20.22</v>
      </c>
    </row>
    <row r="605" spans="1:3" x14ac:dyDescent="0.55000000000000004">
      <c r="A605" s="68">
        <v>657</v>
      </c>
      <c r="C605" s="68">
        <v>18.61</v>
      </c>
    </row>
    <row r="606" spans="1:3" x14ac:dyDescent="0.55000000000000004">
      <c r="A606" s="68">
        <v>657</v>
      </c>
      <c r="C606" s="68">
        <v>17.53</v>
      </c>
    </row>
    <row r="607" spans="1:3" x14ac:dyDescent="0.55000000000000004">
      <c r="A607" s="68">
        <v>657</v>
      </c>
      <c r="C607" s="68">
        <v>17.53</v>
      </c>
    </row>
    <row r="608" spans="1:3" x14ac:dyDescent="0.55000000000000004">
      <c r="A608" s="68">
        <v>657</v>
      </c>
      <c r="C608" s="68">
        <v>17.53</v>
      </c>
    </row>
    <row r="609" spans="1:3" x14ac:dyDescent="0.55000000000000004">
      <c r="A609" s="68">
        <v>657</v>
      </c>
      <c r="C609" s="68">
        <v>17.53</v>
      </c>
    </row>
    <row r="610" spans="1:3" x14ac:dyDescent="0.55000000000000004">
      <c r="A610" s="68">
        <v>657</v>
      </c>
      <c r="C610" s="68">
        <v>18.07</v>
      </c>
    </row>
    <row r="611" spans="1:3" x14ac:dyDescent="0.55000000000000004">
      <c r="A611" s="68">
        <v>657</v>
      </c>
      <c r="C611" s="68">
        <v>17.53</v>
      </c>
    </row>
    <row r="612" spans="1:3" x14ac:dyDescent="0.55000000000000004">
      <c r="A612" s="68">
        <v>657</v>
      </c>
      <c r="C612" s="68">
        <v>17.53</v>
      </c>
    </row>
    <row r="613" spans="1:3" x14ac:dyDescent="0.55000000000000004">
      <c r="A613" s="68">
        <v>657</v>
      </c>
      <c r="C613" s="68">
        <v>17.53</v>
      </c>
    </row>
    <row r="614" spans="1:3" x14ac:dyDescent="0.55000000000000004">
      <c r="A614" s="68">
        <v>657</v>
      </c>
      <c r="C614" s="68">
        <v>17</v>
      </c>
    </row>
    <row r="615" spans="1:3" x14ac:dyDescent="0.55000000000000004">
      <c r="A615" s="68">
        <v>657</v>
      </c>
      <c r="C615" s="68">
        <v>17.53</v>
      </c>
    </row>
    <row r="616" spans="1:3" x14ac:dyDescent="0.55000000000000004">
      <c r="A616" s="68">
        <v>657</v>
      </c>
      <c r="C616" s="68">
        <v>17.53</v>
      </c>
    </row>
    <row r="617" spans="1:3" x14ac:dyDescent="0.55000000000000004">
      <c r="A617" s="68">
        <v>657</v>
      </c>
      <c r="C617" s="68">
        <v>17.53</v>
      </c>
    </row>
    <row r="618" spans="1:3" x14ac:dyDescent="0.55000000000000004">
      <c r="A618" s="68">
        <v>657</v>
      </c>
      <c r="C618" s="68">
        <v>17.53</v>
      </c>
    </row>
    <row r="619" spans="1:3" x14ac:dyDescent="0.55000000000000004">
      <c r="A619" s="68">
        <v>657</v>
      </c>
      <c r="C619" s="68">
        <v>17.53</v>
      </c>
    </row>
    <row r="620" spans="1:3" x14ac:dyDescent="0.55000000000000004">
      <c r="A620" s="68">
        <v>657</v>
      </c>
      <c r="C620" s="68">
        <v>17.53</v>
      </c>
    </row>
    <row r="621" spans="1:3" x14ac:dyDescent="0.55000000000000004">
      <c r="A621" s="68">
        <v>657</v>
      </c>
      <c r="C621" s="68">
        <v>17.53</v>
      </c>
    </row>
    <row r="622" spans="1:3" x14ac:dyDescent="0.55000000000000004">
      <c r="A622" s="68">
        <v>657</v>
      </c>
      <c r="C622" s="68">
        <v>17.53</v>
      </c>
    </row>
    <row r="623" spans="1:3" x14ac:dyDescent="0.55000000000000004">
      <c r="A623" s="68">
        <v>657</v>
      </c>
      <c r="C623" s="68">
        <v>17.53</v>
      </c>
    </row>
    <row r="624" spans="1:3" x14ac:dyDescent="0.55000000000000004">
      <c r="A624" s="68">
        <v>752</v>
      </c>
      <c r="C624" s="68">
        <v>27.43</v>
      </c>
    </row>
    <row r="625" spans="1:3" x14ac:dyDescent="0.55000000000000004">
      <c r="A625" s="68">
        <v>752</v>
      </c>
      <c r="C625" s="68">
        <v>27.43</v>
      </c>
    </row>
    <row r="626" spans="1:3" x14ac:dyDescent="0.55000000000000004">
      <c r="A626" s="68">
        <v>752</v>
      </c>
      <c r="C626" s="68">
        <v>28.04</v>
      </c>
    </row>
    <row r="627" spans="1:3" x14ac:dyDescent="0.55000000000000004">
      <c r="A627" s="68">
        <v>752</v>
      </c>
      <c r="C627" s="68">
        <v>27.43</v>
      </c>
    </row>
    <row r="628" spans="1:3" x14ac:dyDescent="0.55000000000000004">
      <c r="A628" s="68">
        <v>752</v>
      </c>
      <c r="C628" s="68">
        <v>24.59</v>
      </c>
    </row>
    <row r="629" spans="1:3" x14ac:dyDescent="0.55000000000000004">
      <c r="A629" s="68">
        <v>752</v>
      </c>
      <c r="C629" s="68">
        <v>24.18</v>
      </c>
    </row>
    <row r="630" spans="1:3" x14ac:dyDescent="0.55000000000000004">
      <c r="A630" s="68">
        <v>752</v>
      </c>
      <c r="C630" s="68">
        <v>27.23</v>
      </c>
    </row>
    <row r="631" spans="1:3" x14ac:dyDescent="0.55000000000000004">
      <c r="A631" s="68">
        <v>752</v>
      </c>
      <c r="C631" s="68">
        <v>23.23</v>
      </c>
    </row>
    <row r="632" spans="1:3" x14ac:dyDescent="0.55000000000000004">
      <c r="A632" s="68">
        <v>752</v>
      </c>
      <c r="C632" s="68">
        <v>22.56</v>
      </c>
    </row>
    <row r="633" spans="1:3" x14ac:dyDescent="0.55000000000000004">
      <c r="A633" s="68">
        <v>752</v>
      </c>
      <c r="C633" s="68">
        <v>21.43</v>
      </c>
    </row>
    <row r="634" spans="1:3" x14ac:dyDescent="0.55000000000000004">
      <c r="A634" s="68">
        <v>752</v>
      </c>
      <c r="C634" s="68">
        <v>22.56</v>
      </c>
    </row>
    <row r="635" spans="1:3" x14ac:dyDescent="0.55000000000000004">
      <c r="A635" s="68">
        <v>752</v>
      </c>
      <c r="C635" s="68">
        <v>23.77</v>
      </c>
    </row>
    <row r="636" spans="1:3" x14ac:dyDescent="0.55000000000000004">
      <c r="A636" s="68">
        <v>752</v>
      </c>
      <c r="C636" s="68">
        <v>27.03</v>
      </c>
    </row>
    <row r="637" spans="1:3" x14ac:dyDescent="0.55000000000000004">
      <c r="A637" s="68">
        <v>752</v>
      </c>
      <c r="C637" s="68">
        <v>27.64</v>
      </c>
    </row>
    <row r="638" spans="1:3" x14ac:dyDescent="0.55000000000000004">
      <c r="A638" s="68">
        <v>752</v>
      </c>
      <c r="C638" s="68">
        <v>24.59</v>
      </c>
    </row>
    <row r="639" spans="1:3" x14ac:dyDescent="0.55000000000000004">
      <c r="A639" s="68">
        <v>752</v>
      </c>
      <c r="C639" s="68">
        <v>22.19</v>
      </c>
    </row>
    <row r="640" spans="1:3" x14ac:dyDescent="0.55000000000000004">
      <c r="A640" s="68">
        <v>752</v>
      </c>
      <c r="C640" s="68">
        <v>22.19</v>
      </c>
    </row>
    <row r="641" spans="1:3" x14ac:dyDescent="0.55000000000000004">
      <c r="A641" s="68">
        <v>752</v>
      </c>
      <c r="C641" s="68">
        <v>22.19</v>
      </c>
    </row>
    <row r="642" spans="1:3" x14ac:dyDescent="0.55000000000000004">
      <c r="A642" s="68">
        <v>752</v>
      </c>
      <c r="C642" s="68">
        <v>22.19</v>
      </c>
    </row>
    <row r="643" spans="1:3" x14ac:dyDescent="0.55000000000000004">
      <c r="A643" s="68">
        <v>752</v>
      </c>
      <c r="C643" s="68">
        <v>24.99</v>
      </c>
    </row>
    <row r="644" spans="1:3" x14ac:dyDescent="0.55000000000000004">
      <c r="A644" s="68">
        <v>752</v>
      </c>
      <c r="C644" s="68">
        <v>22.19</v>
      </c>
    </row>
    <row r="645" spans="1:3" x14ac:dyDescent="0.55000000000000004">
      <c r="A645" s="68">
        <v>752</v>
      </c>
      <c r="C645" s="68">
        <v>22.19</v>
      </c>
    </row>
    <row r="646" spans="1:3" x14ac:dyDescent="0.55000000000000004">
      <c r="A646" s="68">
        <v>752</v>
      </c>
      <c r="C646" s="68">
        <v>26.42</v>
      </c>
    </row>
    <row r="647" spans="1:3" x14ac:dyDescent="0.55000000000000004">
      <c r="A647" s="68">
        <v>752</v>
      </c>
      <c r="C647" s="68">
        <v>22.56</v>
      </c>
    </row>
    <row r="648" spans="1:3" x14ac:dyDescent="0.55000000000000004">
      <c r="A648" s="68">
        <v>752</v>
      </c>
      <c r="C648" s="68">
        <v>22.19</v>
      </c>
    </row>
    <row r="649" spans="1:3" x14ac:dyDescent="0.55000000000000004">
      <c r="A649" s="68">
        <v>752</v>
      </c>
      <c r="C649" s="68">
        <v>28.25</v>
      </c>
    </row>
    <row r="650" spans="1:3" x14ac:dyDescent="0.55000000000000004">
      <c r="A650" s="68">
        <v>752</v>
      </c>
      <c r="C650" s="68">
        <v>22.19</v>
      </c>
    </row>
    <row r="651" spans="1:3" x14ac:dyDescent="0.55000000000000004">
      <c r="A651" s="68">
        <v>752</v>
      </c>
      <c r="C651" s="68">
        <v>23.77</v>
      </c>
    </row>
    <row r="652" spans="1:3" x14ac:dyDescent="0.55000000000000004">
      <c r="A652" s="68">
        <v>752</v>
      </c>
      <c r="C652" s="68">
        <v>22.19</v>
      </c>
    </row>
    <row r="653" spans="1:3" x14ac:dyDescent="0.55000000000000004">
      <c r="A653" s="68">
        <v>752</v>
      </c>
      <c r="C653" s="68">
        <v>20.9</v>
      </c>
    </row>
    <row r="654" spans="1:3" x14ac:dyDescent="0.55000000000000004">
      <c r="A654" s="68">
        <v>752</v>
      </c>
      <c r="C654" s="68">
        <v>22.56</v>
      </c>
    </row>
    <row r="655" spans="1:3" x14ac:dyDescent="0.55000000000000004">
      <c r="A655" s="68">
        <v>752</v>
      </c>
      <c r="C655" s="68">
        <v>22.19</v>
      </c>
    </row>
    <row r="656" spans="1:3" x14ac:dyDescent="0.55000000000000004">
      <c r="A656" s="68">
        <v>316</v>
      </c>
      <c r="C656" s="68">
        <v>23</v>
      </c>
    </row>
    <row r="657" spans="1:3" x14ac:dyDescent="0.55000000000000004">
      <c r="A657" s="68">
        <v>316</v>
      </c>
      <c r="C657" s="68">
        <v>24.5</v>
      </c>
    </row>
    <row r="658" spans="1:3" x14ac:dyDescent="0.55000000000000004">
      <c r="A658" s="68">
        <v>316</v>
      </c>
      <c r="C658" s="68">
        <v>23</v>
      </c>
    </row>
    <row r="659" spans="1:3" x14ac:dyDescent="0.55000000000000004">
      <c r="A659" s="68">
        <v>316</v>
      </c>
      <c r="C659" s="68">
        <v>24</v>
      </c>
    </row>
    <row r="660" spans="1:3" x14ac:dyDescent="0.55000000000000004">
      <c r="A660" s="68">
        <v>316</v>
      </c>
      <c r="C660" s="68">
        <v>23</v>
      </c>
    </row>
    <row r="661" spans="1:3" x14ac:dyDescent="0.55000000000000004">
      <c r="A661" s="68">
        <v>316</v>
      </c>
      <c r="C661" s="68">
        <v>21</v>
      </c>
    </row>
    <row r="662" spans="1:3" x14ac:dyDescent="0.55000000000000004">
      <c r="A662" s="68">
        <v>316</v>
      </c>
      <c r="C662" s="68">
        <v>23</v>
      </c>
    </row>
    <row r="663" spans="1:3" x14ac:dyDescent="0.55000000000000004">
      <c r="A663" s="68">
        <v>316</v>
      </c>
      <c r="C663" s="68">
        <v>21</v>
      </c>
    </row>
    <row r="664" spans="1:3" x14ac:dyDescent="0.55000000000000004">
      <c r="A664" s="68">
        <v>316</v>
      </c>
      <c r="C664" s="68">
        <v>23.69</v>
      </c>
    </row>
    <row r="665" spans="1:3" x14ac:dyDescent="0.55000000000000004">
      <c r="A665" s="68">
        <v>316</v>
      </c>
      <c r="C665" s="68">
        <v>24</v>
      </c>
    </row>
    <row r="666" spans="1:3" x14ac:dyDescent="0.55000000000000004">
      <c r="A666" s="68">
        <v>316</v>
      </c>
      <c r="C666" s="68">
        <v>24</v>
      </c>
    </row>
    <row r="667" spans="1:3" x14ac:dyDescent="0.55000000000000004">
      <c r="A667" s="68">
        <v>316</v>
      </c>
      <c r="C667" s="68">
        <v>23</v>
      </c>
    </row>
    <row r="668" spans="1:3" x14ac:dyDescent="0.55000000000000004">
      <c r="A668" s="68">
        <v>316</v>
      </c>
      <c r="C668" s="68">
        <v>23</v>
      </c>
    </row>
    <row r="669" spans="1:3" x14ac:dyDescent="0.55000000000000004">
      <c r="A669" s="68">
        <v>316</v>
      </c>
      <c r="C669" s="68">
        <v>23</v>
      </c>
    </row>
    <row r="670" spans="1:3" x14ac:dyDescent="0.55000000000000004">
      <c r="A670" s="68">
        <v>316</v>
      </c>
      <c r="C670" s="68">
        <v>23</v>
      </c>
    </row>
    <row r="671" spans="1:3" x14ac:dyDescent="0.55000000000000004">
      <c r="A671" s="68">
        <v>316</v>
      </c>
      <c r="C671" s="68">
        <v>24</v>
      </c>
    </row>
    <row r="672" spans="1:3" x14ac:dyDescent="0.55000000000000004">
      <c r="A672" s="68">
        <v>316</v>
      </c>
      <c r="C672" s="68">
        <v>24</v>
      </c>
    </row>
    <row r="673" spans="1:3" x14ac:dyDescent="0.55000000000000004">
      <c r="A673" s="68">
        <v>316</v>
      </c>
      <c r="C673" s="68">
        <v>23.5</v>
      </c>
    </row>
    <row r="674" spans="1:3" x14ac:dyDescent="0.55000000000000004">
      <c r="A674" s="68">
        <v>316</v>
      </c>
      <c r="C674" s="68">
        <v>24</v>
      </c>
    </row>
    <row r="675" spans="1:3" x14ac:dyDescent="0.55000000000000004">
      <c r="A675" s="68">
        <v>316</v>
      </c>
      <c r="C675" s="68">
        <v>24</v>
      </c>
    </row>
    <row r="676" spans="1:3" x14ac:dyDescent="0.55000000000000004">
      <c r="A676" s="68">
        <v>316</v>
      </c>
      <c r="C676" s="68">
        <v>23</v>
      </c>
    </row>
    <row r="677" spans="1:3" x14ac:dyDescent="0.55000000000000004">
      <c r="A677" s="68">
        <v>316</v>
      </c>
      <c r="C677" s="68">
        <v>23</v>
      </c>
    </row>
    <row r="678" spans="1:3" x14ac:dyDescent="0.55000000000000004">
      <c r="A678" s="68">
        <v>316</v>
      </c>
      <c r="C678" s="68">
        <v>23</v>
      </c>
    </row>
    <row r="679" spans="1:3" x14ac:dyDescent="0.55000000000000004">
      <c r="A679" s="68">
        <v>316</v>
      </c>
      <c r="C679" s="68">
        <v>23</v>
      </c>
    </row>
    <row r="680" spans="1:3" x14ac:dyDescent="0.55000000000000004">
      <c r="A680" s="68">
        <v>316</v>
      </c>
      <c r="C680" s="68">
        <v>25.5</v>
      </c>
    </row>
    <row r="681" spans="1:3" x14ac:dyDescent="0.55000000000000004">
      <c r="A681" s="68">
        <v>316</v>
      </c>
      <c r="C681" s="68">
        <v>20</v>
      </c>
    </row>
    <row r="682" spans="1:3" x14ac:dyDescent="0.55000000000000004">
      <c r="A682" s="68">
        <v>316</v>
      </c>
      <c r="C682" s="68">
        <v>23</v>
      </c>
    </row>
    <row r="683" spans="1:3" x14ac:dyDescent="0.55000000000000004">
      <c r="A683" s="68">
        <v>316</v>
      </c>
      <c r="C683" s="68">
        <v>25.5</v>
      </c>
    </row>
    <row r="684" spans="1:3" x14ac:dyDescent="0.55000000000000004">
      <c r="A684" s="68">
        <v>316</v>
      </c>
      <c r="C684" s="68">
        <v>24</v>
      </c>
    </row>
    <row r="685" spans="1:3" x14ac:dyDescent="0.55000000000000004">
      <c r="A685" s="68">
        <v>316</v>
      </c>
      <c r="C685" s="68">
        <v>26.5</v>
      </c>
    </row>
    <row r="686" spans="1:3" x14ac:dyDescent="0.55000000000000004">
      <c r="A686" s="68">
        <v>316</v>
      </c>
      <c r="C686" s="68">
        <v>24</v>
      </c>
    </row>
    <row r="687" spans="1:3" x14ac:dyDescent="0.55000000000000004">
      <c r="A687" s="68">
        <v>316</v>
      </c>
      <c r="C687" s="68">
        <v>23</v>
      </c>
    </row>
    <row r="688" spans="1:3" x14ac:dyDescent="0.55000000000000004">
      <c r="A688" s="68">
        <v>316</v>
      </c>
      <c r="C688" s="68">
        <v>22</v>
      </c>
    </row>
    <row r="689" spans="1:3" x14ac:dyDescent="0.55000000000000004">
      <c r="A689" s="68">
        <v>316</v>
      </c>
      <c r="C689" s="68">
        <v>22</v>
      </c>
    </row>
    <row r="690" spans="1:3" x14ac:dyDescent="0.55000000000000004">
      <c r="A690" s="68">
        <v>316</v>
      </c>
      <c r="C690" s="68">
        <v>23</v>
      </c>
    </row>
    <row r="691" spans="1:3" x14ac:dyDescent="0.55000000000000004">
      <c r="A691" s="68">
        <v>316</v>
      </c>
      <c r="C691" s="68">
        <v>22</v>
      </c>
    </row>
    <row r="692" spans="1:3" x14ac:dyDescent="0.55000000000000004">
      <c r="A692" s="68">
        <v>372</v>
      </c>
      <c r="C692" s="68">
        <v>20.38</v>
      </c>
    </row>
    <row r="693" spans="1:3" x14ac:dyDescent="0.55000000000000004">
      <c r="A693" s="68">
        <v>372</v>
      </c>
      <c r="C693" s="68">
        <v>22.05</v>
      </c>
    </row>
    <row r="694" spans="1:3" x14ac:dyDescent="0.55000000000000004">
      <c r="A694" s="68">
        <v>372</v>
      </c>
      <c r="C694" s="68">
        <v>19.190000000000001</v>
      </c>
    </row>
    <row r="695" spans="1:3" x14ac:dyDescent="0.55000000000000004">
      <c r="A695" s="68">
        <v>372</v>
      </c>
      <c r="C695" s="68">
        <v>23.18</v>
      </c>
    </row>
    <row r="696" spans="1:3" x14ac:dyDescent="0.55000000000000004">
      <c r="A696" s="68">
        <v>372</v>
      </c>
      <c r="C696" s="68">
        <v>23.18</v>
      </c>
    </row>
    <row r="697" spans="1:3" x14ac:dyDescent="0.55000000000000004">
      <c r="A697" s="68">
        <v>372</v>
      </c>
      <c r="C697" s="68">
        <v>21.2</v>
      </c>
    </row>
    <row r="698" spans="1:3" x14ac:dyDescent="0.55000000000000004">
      <c r="A698" s="68">
        <v>372</v>
      </c>
      <c r="C698" s="68">
        <v>19.97</v>
      </c>
    </row>
    <row r="699" spans="1:3" x14ac:dyDescent="0.55000000000000004">
      <c r="A699" s="68">
        <v>372</v>
      </c>
      <c r="C699" s="68">
        <v>19.579999999999998</v>
      </c>
    </row>
    <row r="700" spans="1:3" x14ac:dyDescent="0.55000000000000004">
      <c r="A700" s="68">
        <v>372</v>
      </c>
      <c r="C700" s="68">
        <v>20.18</v>
      </c>
    </row>
    <row r="701" spans="1:3" x14ac:dyDescent="0.55000000000000004">
      <c r="A701" s="68">
        <v>372</v>
      </c>
      <c r="C701" s="68">
        <v>19.98</v>
      </c>
    </row>
    <row r="702" spans="1:3" x14ac:dyDescent="0.55000000000000004">
      <c r="A702" s="68">
        <v>372</v>
      </c>
      <c r="C702" s="68">
        <v>23.41</v>
      </c>
    </row>
    <row r="703" spans="1:3" x14ac:dyDescent="0.55000000000000004">
      <c r="A703" s="68">
        <v>372</v>
      </c>
      <c r="C703" s="68">
        <v>20.78</v>
      </c>
    </row>
    <row r="704" spans="1:3" x14ac:dyDescent="0.55000000000000004">
      <c r="A704" s="68">
        <v>372</v>
      </c>
      <c r="C704" s="68">
        <v>20.99</v>
      </c>
    </row>
    <row r="705" spans="1:3" x14ac:dyDescent="0.55000000000000004">
      <c r="A705" s="68">
        <v>372</v>
      </c>
      <c r="C705" s="68">
        <v>19.190000000000001</v>
      </c>
    </row>
    <row r="706" spans="1:3" x14ac:dyDescent="0.55000000000000004">
      <c r="A706" s="68">
        <v>372</v>
      </c>
      <c r="C706" s="68">
        <v>23.52</v>
      </c>
    </row>
    <row r="707" spans="1:3" x14ac:dyDescent="0.55000000000000004">
      <c r="A707" s="68">
        <v>372</v>
      </c>
      <c r="C707" s="68">
        <v>19.579999999999998</v>
      </c>
    </row>
    <row r="708" spans="1:3" x14ac:dyDescent="0.55000000000000004">
      <c r="A708" s="68">
        <v>372</v>
      </c>
      <c r="C708" s="68">
        <v>23.41</v>
      </c>
    </row>
    <row r="709" spans="1:3" x14ac:dyDescent="0.55000000000000004">
      <c r="A709" s="68">
        <v>372</v>
      </c>
      <c r="C709" s="68">
        <v>19.190000000000001</v>
      </c>
    </row>
    <row r="710" spans="1:3" x14ac:dyDescent="0.55000000000000004">
      <c r="A710" s="68">
        <v>372</v>
      </c>
      <c r="C710" s="68">
        <v>19.38</v>
      </c>
    </row>
    <row r="711" spans="1:3" x14ac:dyDescent="0.55000000000000004">
      <c r="A711" s="68">
        <v>372</v>
      </c>
      <c r="C711" s="68">
        <v>20.98</v>
      </c>
    </row>
    <row r="712" spans="1:3" x14ac:dyDescent="0.55000000000000004">
      <c r="A712" s="68">
        <v>372</v>
      </c>
      <c r="C712" s="68">
        <v>23.41</v>
      </c>
    </row>
    <row r="713" spans="1:3" x14ac:dyDescent="0.55000000000000004">
      <c r="A713" s="68">
        <v>372</v>
      </c>
      <c r="C713" s="68">
        <v>20.57</v>
      </c>
    </row>
    <row r="714" spans="1:3" x14ac:dyDescent="0.55000000000000004">
      <c r="A714" s="68">
        <v>372</v>
      </c>
      <c r="C714" s="68">
        <v>20.98</v>
      </c>
    </row>
    <row r="715" spans="1:3" x14ac:dyDescent="0.55000000000000004">
      <c r="A715" s="68">
        <v>372</v>
      </c>
      <c r="C715" s="68">
        <v>19.38</v>
      </c>
    </row>
    <row r="716" spans="1:3" x14ac:dyDescent="0.55000000000000004">
      <c r="A716" s="68">
        <v>372</v>
      </c>
      <c r="C716" s="68">
        <v>21.84</v>
      </c>
    </row>
    <row r="717" spans="1:3" x14ac:dyDescent="0.55000000000000004">
      <c r="A717" s="68">
        <v>372</v>
      </c>
      <c r="C717" s="68">
        <v>20.37</v>
      </c>
    </row>
    <row r="718" spans="1:3" x14ac:dyDescent="0.55000000000000004">
      <c r="A718" s="68">
        <v>372</v>
      </c>
      <c r="C718" s="68">
        <v>22.95</v>
      </c>
    </row>
    <row r="719" spans="1:3" x14ac:dyDescent="0.55000000000000004">
      <c r="A719" s="68">
        <v>372</v>
      </c>
      <c r="C719" s="68">
        <v>23.42</v>
      </c>
    </row>
    <row r="720" spans="1:3" x14ac:dyDescent="0.55000000000000004">
      <c r="A720" s="68">
        <v>372</v>
      </c>
      <c r="C720" s="68">
        <v>22.05</v>
      </c>
    </row>
    <row r="721" spans="1:3" x14ac:dyDescent="0.55000000000000004">
      <c r="A721" s="68">
        <v>372</v>
      </c>
      <c r="C721" s="68">
        <v>20.57</v>
      </c>
    </row>
    <row r="722" spans="1:3" x14ac:dyDescent="0.55000000000000004">
      <c r="A722" s="68">
        <v>372</v>
      </c>
      <c r="C722" s="68">
        <v>23.64</v>
      </c>
    </row>
    <row r="723" spans="1:3" x14ac:dyDescent="0.55000000000000004">
      <c r="A723" s="68">
        <v>372</v>
      </c>
      <c r="C723" s="68">
        <v>19.190000000000001</v>
      </c>
    </row>
    <row r="724" spans="1:3" x14ac:dyDescent="0.55000000000000004">
      <c r="A724" s="68">
        <v>372</v>
      </c>
      <c r="C724" s="68">
        <v>19.78</v>
      </c>
    </row>
    <row r="725" spans="1:3" x14ac:dyDescent="0.55000000000000004">
      <c r="A725" s="68">
        <v>372</v>
      </c>
      <c r="C725" s="68">
        <v>19.38</v>
      </c>
    </row>
    <row r="726" spans="1:3" x14ac:dyDescent="0.55000000000000004">
      <c r="A726" s="68">
        <v>372</v>
      </c>
      <c r="C726" s="68">
        <v>19.57</v>
      </c>
    </row>
    <row r="727" spans="1:3" x14ac:dyDescent="0.55000000000000004">
      <c r="A727" s="68">
        <v>372</v>
      </c>
      <c r="C727" s="68">
        <v>23.41</v>
      </c>
    </row>
    <row r="728" spans="1:3" x14ac:dyDescent="0.55000000000000004">
      <c r="A728" s="68">
        <v>372</v>
      </c>
      <c r="C728" s="68">
        <v>20.99</v>
      </c>
    </row>
    <row r="729" spans="1:3" x14ac:dyDescent="0.55000000000000004">
      <c r="A729" s="68">
        <v>372</v>
      </c>
      <c r="C729" s="68">
        <v>20.57</v>
      </c>
    </row>
    <row r="730" spans="1:3" x14ac:dyDescent="0.55000000000000004">
      <c r="A730" s="68">
        <v>372</v>
      </c>
      <c r="C730" s="68">
        <v>19.98</v>
      </c>
    </row>
    <row r="731" spans="1:3" x14ac:dyDescent="0.55000000000000004">
      <c r="A731" s="68">
        <v>372</v>
      </c>
      <c r="C731" s="68">
        <v>21.84</v>
      </c>
    </row>
    <row r="732" spans="1:3" x14ac:dyDescent="0.55000000000000004">
      <c r="A732" s="68">
        <v>372</v>
      </c>
      <c r="C732" s="68">
        <v>23.42</v>
      </c>
    </row>
    <row r="733" spans="1:3" x14ac:dyDescent="0.55000000000000004">
      <c r="A733" s="68">
        <v>372</v>
      </c>
      <c r="C733" s="68">
        <v>19.190000000000001</v>
      </c>
    </row>
    <row r="734" spans="1:3" x14ac:dyDescent="0.55000000000000004">
      <c r="A734" s="68">
        <v>372</v>
      </c>
      <c r="C734" s="68">
        <v>21.41</v>
      </c>
    </row>
    <row r="735" spans="1:3" x14ac:dyDescent="0.55000000000000004">
      <c r="A735" s="68">
        <v>372</v>
      </c>
      <c r="C735" s="68">
        <v>19.57</v>
      </c>
    </row>
    <row r="736" spans="1:3" x14ac:dyDescent="0.55000000000000004">
      <c r="A736" s="68">
        <v>372</v>
      </c>
      <c r="C736" s="68">
        <v>20.37</v>
      </c>
    </row>
    <row r="737" spans="1:3" x14ac:dyDescent="0.55000000000000004">
      <c r="A737" s="68">
        <v>372</v>
      </c>
      <c r="C737" s="68">
        <v>23.41</v>
      </c>
    </row>
    <row r="738" spans="1:3" x14ac:dyDescent="0.55000000000000004">
      <c r="A738" s="68">
        <v>372</v>
      </c>
      <c r="C738" s="68">
        <v>20.98</v>
      </c>
    </row>
    <row r="739" spans="1:3" x14ac:dyDescent="0.55000000000000004">
      <c r="A739" s="68">
        <v>372</v>
      </c>
      <c r="C739" s="68">
        <v>19.57</v>
      </c>
    </row>
    <row r="740" spans="1:3" x14ac:dyDescent="0.55000000000000004">
      <c r="A740" s="68">
        <v>372</v>
      </c>
      <c r="C740" s="68">
        <v>22.73</v>
      </c>
    </row>
    <row r="741" spans="1:3" x14ac:dyDescent="0.55000000000000004">
      <c r="A741" s="68">
        <v>372</v>
      </c>
      <c r="C741" s="68">
        <v>20.57</v>
      </c>
    </row>
    <row r="742" spans="1:3" x14ac:dyDescent="0.55000000000000004">
      <c r="A742" s="68">
        <v>372</v>
      </c>
      <c r="C742" s="68">
        <v>21.41</v>
      </c>
    </row>
    <row r="743" spans="1:3" x14ac:dyDescent="0.55000000000000004">
      <c r="A743" s="68">
        <v>372</v>
      </c>
      <c r="C743" s="68">
        <v>22.28</v>
      </c>
    </row>
    <row r="744" spans="1:3" x14ac:dyDescent="0.55000000000000004">
      <c r="A744" s="68">
        <v>372</v>
      </c>
      <c r="C744" s="68">
        <v>19.96</v>
      </c>
    </row>
    <row r="745" spans="1:3" x14ac:dyDescent="0.55000000000000004">
      <c r="A745" s="68">
        <v>372</v>
      </c>
      <c r="C745" s="68">
        <v>22.02</v>
      </c>
    </row>
    <row r="746" spans="1:3" x14ac:dyDescent="0.55000000000000004">
      <c r="A746" s="68">
        <v>372</v>
      </c>
      <c r="C746" s="68">
        <v>19.57</v>
      </c>
    </row>
    <row r="747" spans="1:3" x14ac:dyDescent="0.55000000000000004">
      <c r="A747" s="68">
        <v>372</v>
      </c>
      <c r="C747" s="68">
        <v>22.28</v>
      </c>
    </row>
    <row r="748" spans="1:3" x14ac:dyDescent="0.55000000000000004">
      <c r="A748" s="68">
        <v>372</v>
      </c>
      <c r="C748" s="68">
        <v>20.38</v>
      </c>
    </row>
    <row r="749" spans="1:3" x14ac:dyDescent="0.55000000000000004">
      <c r="A749" s="68">
        <v>372</v>
      </c>
      <c r="C749" s="68">
        <v>19.38</v>
      </c>
    </row>
    <row r="750" spans="1:3" x14ac:dyDescent="0.55000000000000004">
      <c r="A750" s="68">
        <v>372</v>
      </c>
      <c r="C750" s="68">
        <v>24.42</v>
      </c>
    </row>
    <row r="751" spans="1:3" x14ac:dyDescent="0.55000000000000004">
      <c r="A751" s="68">
        <v>372</v>
      </c>
      <c r="C751" s="68">
        <v>22.28</v>
      </c>
    </row>
    <row r="752" spans="1:3" x14ac:dyDescent="0.55000000000000004">
      <c r="A752" s="68">
        <v>372</v>
      </c>
      <c r="C752" s="68">
        <v>20.57</v>
      </c>
    </row>
    <row r="753" spans="1:3" x14ac:dyDescent="0.55000000000000004">
      <c r="A753" s="68">
        <v>372</v>
      </c>
      <c r="C753" s="68">
        <v>23.52</v>
      </c>
    </row>
    <row r="754" spans="1:3" x14ac:dyDescent="0.55000000000000004">
      <c r="A754" s="68">
        <v>372</v>
      </c>
      <c r="C754" s="68">
        <v>21.84</v>
      </c>
    </row>
    <row r="755" spans="1:3" x14ac:dyDescent="0.55000000000000004">
      <c r="A755" s="68">
        <v>372</v>
      </c>
      <c r="C755" s="68">
        <v>19.57</v>
      </c>
    </row>
    <row r="756" spans="1:3" x14ac:dyDescent="0.55000000000000004">
      <c r="A756" s="68">
        <v>372</v>
      </c>
      <c r="C756" s="68">
        <v>19.190000000000001</v>
      </c>
    </row>
    <row r="757" spans="1:3" x14ac:dyDescent="0.55000000000000004">
      <c r="A757" s="68">
        <v>372</v>
      </c>
      <c r="C757" s="68">
        <v>19.190000000000001</v>
      </c>
    </row>
    <row r="758" spans="1:3" x14ac:dyDescent="0.55000000000000004">
      <c r="A758" s="68">
        <v>372</v>
      </c>
      <c r="C758" s="68">
        <v>19.190000000000001</v>
      </c>
    </row>
    <row r="759" spans="1:3" x14ac:dyDescent="0.55000000000000004">
      <c r="A759" s="68">
        <v>372</v>
      </c>
      <c r="C759" s="68">
        <v>22.95</v>
      </c>
    </row>
    <row r="760" spans="1:3" x14ac:dyDescent="0.55000000000000004">
      <c r="A760" s="68">
        <v>372</v>
      </c>
      <c r="C760" s="68">
        <v>21.41</v>
      </c>
    </row>
    <row r="761" spans="1:3" x14ac:dyDescent="0.55000000000000004">
      <c r="A761" s="68">
        <v>372</v>
      </c>
      <c r="C761" s="68">
        <v>23.18</v>
      </c>
    </row>
    <row r="762" spans="1:3" x14ac:dyDescent="0.55000000000000004">
      <c r="A762" s="68">
        <v>967</v>
      </c>
      <c r="C762" s="68">
        <v>23</v>
      </c>
    </row>
    <row r="763" spans="1:3" x14ac:dyDescent="0.55000000000000004">
      <c r="A763" s="68">
        <v>967</v>
      </c>
      <c r="C763" s="68">
        <v>21</v>
      </c>
    </row>
    <row r="764" spans="1:3" x14ac:dyDescent="0.55000000000000004">
      <c r="A764" s="68">
        <v>967</v>
      </c>
      <c r="C764" s="68">
        <v>21</v>
      </c>
    </row>
    <row r="765" spans="1:3" x14ac:dyDescent="0.55000000000000004">
      <c r="A765" s="68">
        <v>967</v>
      </c>
      <c r="C765" s="68">
        <v>21</v>
      </c>
    </row>
    <row r="766" spans="1:3" x14ac:dyDescent="0.55000000000000004">
      <c r="A766" s="68">
        <v>967</v>
      </c>
      <c r="C766" s="68">
        <v>25</v>
      </c>
    </row>
    <row r="767" spans="1:3" x14ac:dyDescent="0.55000000000000004">
      <c r="A767" s="68">
        <v>967</v>
      </c>
      <c r="C767" s="68">
        <v>21.5</v>
      </c>
    </row>
    <row r="768" spans="1:3" x14ac:dyDescent="0.55000000000000004">
      <c r="A768" s="68">
        <v>967</v>
      </c>
      <c r="C768" s="68">
        <v>21.5</v>
      </c>
    </row>
    <row r="769" spans="1:3" x14ac:dyDescent="0.55000000000000004">
      <c r="A769" s="68">
        <v>967</v>
      </c>
      <c r="C769" s="68">
        <v>22</v>
      </c>
    </row>
    <row r="770" spans="1:3" x14ac:dyDescent="0.55000000000000004">
      <c r="A770" s="68">
        <v>967</v>
      </c>
      <c r="C770" s="68">
        <v>22</v>
      </c>
    </row>
    <row r="771" spans="1:3" x14ac:dyDescent="0.55000000000000004">
      <c r="A771" s="68">
        <v>967</v>
      </c>
      <c r="C771" s="68">
        <v>23</v>
      </c>
    </row>
    <row r="772" spans="1:3" x14ac:dyDescent="0.55000000000000004">
      <c r="A772" s="68">
        <v>967</v>
      </c>
      <c r="C772" s="68">
        <v>22</v>
      </c>
    </row>
    <row r="773" spans="1:3" x14ac:dyDescent="0.55000000000000004">
      <c r="A773" s="68">
        <v>967</v>
      </c>
      <c r="C773" s="68">
        <v>22</v>
      </c>
    </row>
    <row r="774" spans="1:3" x14ac:dyDescent="0.55000000000000004">
      <c r="A774" s="68">
        <v>967</v>
      </c>
      <c r="C774" s="68">
        <v>21.5</v>
      </c>
    </row>
    <row r="775" spans="1:3" x14ac:dyDescent="0.55000000000000004">
      <c r="A775" s="68">
        <v>967</v>
      </c>
      <c r="C775" s="68">
        <v>21</v>
      </c>
    </row>
    <row r="776" spans="1:3" x14ac:dyDescent="0.55000000000000004">
      <c r="A776" s="68">
        <v>967</v>
      </c>
      <c r="C776" s="68">
        <v>21</v>
      </c>
    </row>
    <row r="777" spans="1:3" x14ac:dyDescent="0.55000000000000004">
      <c r="A777" s="68">
        <v>967</v>
      </c>
      <c r="C777" s="68">
        <v>22</v>
      </c>
    </row>
    <row r="778" spans="1:3" x14ac:dyDescent="0.55000000000000004">
      <c r="A778" s="68">
        <v>967</v>
      </c>
      <c r="C778" s="68">
        <v>21</v>
      </c>
    </row>
    <row r="779" spans="1:3" x14ac:dyDescent="0.55000000000000004">
      <c r="A779" s="68">
        <v>967</v>
      </c>
      <c r="C779" s="68">
        <v>22</v>
      </c>
    </row>
    <row r="780" spans="1:3" x14ac:dyDescent="0.55000000000000004">
      <c r="A780" s="68">
        <v>967</v>
      </c>
      <c r="C780" s="68">
        <v>21</v>
      </c>
    </row>
    <row r="781" spans="1:3" x14ac:dyDescent="0.55000000000000004">
      <c r="A781" s="68">
        <v>967</v>
      </c>
      <c r="C781" s="68">
        <v>22</v>
      </c>
    </row>
    <row r="782" spans="1:3" x14ac:dyDescent="0.55000000000000004">
      <c r="A782" s="68">
        <v>346</v>
      </c>
      <c r="C782" s="68">
        <v>22</v>
      </c>
    </row>
    <row r="783" spans="1:3" x14ac:dyDescent="0.55000000000000004">
      <c r="A783" s="68">
        <v>346</v>
      </c>
      <c r="C783" s="68">
        <v>23</v>
      </c>
    </row>
    <row r="784" spans="1:3" x14ac:dyDescent="0.55000000000000004">
      <c r="A784" s="68">
        <v>346</v>
      </c>
      <c r="C784" s="68">
        <v>25</v>
      </c>
    </row>
    <row r="785" spans="1:3" x14ac:dyDescent="0.55000000000000004">
      <c r="A785" s="68">
        <v>346</v>
      </c>
      <c r="C785" s="68">
        <v>25</v>
      </c>
    </row>
    <row r="786" spans="1:3" x14ac:dyDescent="0.55000000000000004">
      <c r="A786" s="68">
        <v>346</v>
      </c>
      <c r="C786" s="68">
        <v>22.5</v>
      </c>
    </row>
    <row r="787" spans="1:3" x14ac:dyDescent="0.55000000000000004">
      <c r="A787" s="68">
        <v>346</v>
      </c>
      <c r="C787" s="68">
        <v>22.5</v>
      </c>
    </row>
    <row r="788" spans="1:3" x14ac:dyDescent="0.55000000000000004">
      <c r="A788" s="68">
        <v>346</v>
      </c>
      <c r="C788" s="68">
        <v>25</v>
      </c>
    </row>
    <row r="789" spans="1:3" x14ac:dyDescent="0.55000000000000004">
      <c r="A789" s="68">
        <v>346</v>
      </c>
      <c r="C789" s="68">
        <v>25</v>
      </c>
    </row>
    <row r="790" spans="1:3" x14ac:dyDescent="0.55000000000000004">
      <c r="A790" s="68">
        <v>346</v>
      </c>
      <c r="C790" s="68">
        <v>22.5</v>
      </c>
    </row>
    <row r="791" spans="1:3" x14ac:dyDescent="0.55000000000000004">
      <c r="A791" s="68">
        <v>346</v>
      </c>
      <c r="C791" s="68">
        <v>25</v>
      </c>
    </row>
    <row r="792" spans="1:3" x14ac:dyDescent="0.55000000000000004">
      <c r="A792" s="68">
        <v>606</v>
      </c>
      <c r="C792" s="68">
        <v>20.85</v>
      </c>
    </row>
    <row r="793" spans="1:3" x14ac:dyDescent="0.55000000000000004">
      <c r="A793" s="68">
        <v>606</v>
      </c>
      <c r="C793" s="68">
        <v>19.89</v>
      </c>
    </row>
    <row r="794" spans="1:3" x14ac:dyDescent="0.55000000000000004">
      <c r="A794" s="68">
        <v>606</v>
      </c>
      <c r="C794" s="68">
        <v>19.03</v>
      </c>
    </row>
    <row r="795" spans="1:3" x14ac:dyDescent="0.55000000000000004">
      <c r="A795" s="68">
        <v>606</v>
      </c>
      <c r="C795" s="68">
        <v>17.440000000000001</v>
      </c>
    </row>
    <row r="796" spans="1:3" x14ac:dyDescent="0.55000000000000004">
      <c r="A796" s="68">
        <v>606</v>
      </c>
      <c r="C796" s="68">
        <v>16.84</v>
      </c>
    </row>
    <row r="797" spans="1:3" x14ac:dyDescent="0.55000000000000004">
      <c r="A797" s="68">
        <v>606</v>
      </c>
      <c r="C797" s="68">
        <v>16.27</v>
      </c>
    </row>
    <row r="798" spans="1:3" x14ac:dyDescent="0.55000000000000004">
      <c r="A798" s="68">
        <v>606</v>
      </c>
      <c r="C798" s="68">
        <v>19.03</v>
      </c>
    </row>
    <row r="799" spans="1:3" x14ac:dyDescent="0.55000000000000004">
      <c r="A799" s="68">
        <v>606</v>
      </c>
      <c r="C799" s="68">
        <v>18.53</v>
      </c>
    </row>
    <row r="800" spans="1:3" x14ac:dyDescent="0.55000000000000004">
      <c r="A800" s="68">
        <v>606</v>
      </c>
      <c r="C800" s="68">
        <v>18.53</v>
      </c>
    </row>
    <row r="801" spans="1:3" x14ac:dyDescent="0.55000000000000004">
      <c r="A801" s="68">
        <v>606</v>
      </c>
      <c r="C801" s="68">
        <v>18.05</v>
      </c>
    </row>
    <row r="802" spans="1:3" x14ac:dyDescent="0.55000000000000004">
      <c r="A802" s="68">
        <v>606</v>
      </c>
      <c r="C802" s="68">
        <v>16.27</v>
      </c>
    </row>
    <row r="803" spans="1:3" x14ac:dyDescent="0.55000000000000004">
      <c r="A803" s="68">
        <v>606</v>
      </c>
      <c r="C803" s="68">
        <v>16.27</v>
      </c>
    </row>
    <row r="804" spans="1:3" x14ac:dyDescent="0.55000000000000004">
      <c r="A804" s="68">
        <v>572</v>
      </c>
      <c r="C804" s="68">
        <v>20.309999999999999</v>
      </c>
    </row>
    <row r="805" spans="1:3" x14ac:dyDescent="0.55000000000000004">
      <c r="A805" s="68">
        <v>572</v>
      </c>
      <c r="C805" s="68">
        <v>20.309999999999999</v>
      </c>
    </row>
    <row r="806" spans="1:3" x14ac:dyDescent="0.55000000000000004">
      <c r="A806" s="68">
        <v>572</v>
      </c>
      <c r="C806" s="68">
        <v>20.309999999999999</v>
      </c>
    </row>
    <row r="807" spans="1:3" x14ac:dyDescent="0.55000000000000004">
      <c r="A807" s="68">
        <v>572</v>
      </c>
      <c r="C807" s="68">
        <v>20.309999999999999</v>
      </c>
    </row>
    <row r="808" spans="1:3" x14ac:dyDescent="0.55000000000000004">
      <c r="A808" s="68">
        <v>572</v>
      </c>
      <c r="C808" s="68">
        <v>21.88</v>
      </c>
    </row>
    <row r="809" spans="1:3" x14ac:dyDescent="0.55000000000000004">
      <c r="A809" s="68">
        <v>572</v>
      </c>
      <c r="C809" s="68">
        <v>20.82</v>
      </c>
    </row>
    <row r="810" spans="1:3" x14ac:dyDescent="0.55000000000000004">
      <c r="A810" s="68">
        <v>572</v>
      </c>
      <c r="C810" s="68">
        <v>20.82</v>
      </c>
    </row>
    <row r="811" spans="1:3" x14ac:dyDescent="0.55000000000000004">
      <c r="A811" s="68">
        <v>572</v>
      </c>
      <c r="C811" s="68">
        <v>20.82</v>
      </c>
    </row>
    <row r="812" spans="1:3" x14ac:dyDescent="0.55000000000000004">
      <c r="A812" s="68">
        <v>572</v>
      </c>
      <c r="C812" s="68">
        <v>21.34</v>
      </c>
    </row>
    <row r="813" spans="1:3" x14ac:dyDescent="0.55000000000000004">
      <c r="A813" s="68">
        <v>572</v>
      </c>
      <c r="C813" s="68">
        <v>21.34</v>
      </c>
    </row>
    <row r="814" spans="1:3" x14ac:dyDescent="0.55000000000000004">
      <c r="A814" s="68">
        <v>572</v>
      </c>
      <c r="C814" s="68">
        <v>21.34</v>
      </c>
    </row>
    <row r="815" spans="1:3" x14ac:dyDescent="0.55000000000000004">
      <c r="A815" s="68">
        <v>572</v>
      </c>
      <c r="C815" s="68">
        <v>21.34</v>
      </c>
    </row>
    <row r="816" spans="1:3" x14ac:dyDescent="0.55000000000000004">
      <c r="A816" s="68">
        <v>572</v>
      </c>
      <c r="C816" s="68">
        <v>21.48</v>
      </c>
    </row>
    <row r="817" spans="1:3" x14ac:dyDescent="0.55000000000000004">
      <c r="A817" s="68">
        <v>572</v>
      </c>
      <c r="C817" s="68">
        <v>21.88</v>
      </c>
    </row>
    <row r="818" spans="1:3" x14ac:dyDescent="0.55000000000000004">
      <c r="A818" s="68">
        <v>572</v>
      </c>
      <c r="C818" s="68">
        <v>21.88</v>
      </c>
    </row>
    <row r="819" spans="1:3" x14ac:dyDescent="0.55000000000000004">
      <c r="A819" s="68">
        <v>572</v>
      </c>
      <c r="C819" s="68">
        <v>21.88</v>
      </c>
    </row>
    <row r="820" spans="1:3" x14ac:dyDescent="0.55000000000000004">
      <c r="A820" s="68">
        <v>572</v>
      </c>
      <c r="C820" s="68">
        <v>22.98</v>
      </c>
    </row>
    <row r="821" spans="1:3" x14ac:dyDescent="0.55000000000000004">
      <c r="A821" s="68">
        <v>572</v>
      </c>
      <c r="C821" s="68">
        <v>22.98</v>
      </c>
    </row>
    <row r="822" spans="1:3" x14ac:dyDescent="0.55000000000000004">
      <c r="A822" s="68">
        <v>572</v>
      </c>
      <c r="C822" s="68">
        <v>23.44</v>
      </c>
    </row>
    <row r="823" spans="1:3" x14ac:dyDescent="0.55000000000000004">
      <c r="A823" s="68">
        <v>572</v>
      </c>
      <c r="C823" s="68">
        <v>23.44</v>
      </c>
    </row>
    <row r="824" spans="1:3" x14ac:dyDescent="0.55000000000000004">
      <c r="A824" s="68">
        <v>572</v>
      </c>
      <c r="C824" s="68">
        <v>23.44</v>
      </c>
    </row>
    <row r="825" spans="1:3" x14ac:dyDescent="0.55000000000000004">
      <c r="A825" s="68">
        <v>572</v>
      </c>
      <c r="C825" s="68">
        <v>23.44</v>
      </c>
    </row>
    <row r="826" spans="1:3" x14ac:dyDescent="0.55000000000000004">
      <c r="A826" s="68">
        <v>572</v>
      </c>
      <c r="C826" s="68">
        <v>23.44</v>
      </c>
    </row>
    <row r="827" spans="1:3" x14ac:dyDescent="0.55000000000000004">
      <c r="A827" s="68">
        <v>572</v>
      </c>
      <c r="C827" s="68">
        <v>23.44</v>
      </c>
    </row>
    <row r="828" spans="1:3" x14ac:dyDescent="0.55000000000000004">
      <c r="A828" s="68">
        <v>572</v>
      </c>
      <c r="C828" s="68">
        <v>23.91</v>
      </c>
    </row>
    <row r="829" spans="1:3" x14ac:dyDescent="0.55000000000000004">
      <c r="A829" s="68">
        <v>572</v>
      </c>
      <c r="C829" s="68">
        <v>23.91</v>
      </c>
    </row>
    <row r="830" spans="1:3" x14ac:dyDescent="0.55000000000000004">
      <c r="A830" s="68">
        <v>164</v>
      </c>
      <c r="C830" s="68">
        <v>18</v>
      </c>
    </row>
    <row r="831" spans="1:3" x14ac:dyDescent="0.55000000000000004">
      <c r="A831" s="68">
        <v>164</v>
      </c>
      <c r="C831" s="68">
        <v>18</v>
      </c>
    </row>
    <row r="832" spans="1:3" x14ac:dyDescent="0.55000000000000004">
      <c r="A832" s="68">
        <v>164</v>
      </c>
      <c r="C832" s="68">
        <v>18</v>
      </c>
    </row>
    <row r="833" spans="1:3" x14ac:dyDescent="0.55000000000000004">
      <c r="A833" s="68">
        <v>164</v>
      </c>
      <c r="C833" s="68">
        <v>18</v>
      </c>
    </row>
    <row r="834" spans="1:3" x14ac:dyDescent="0.55000000000000004">
      <c r="A834" s="68">
        <v>164</v>
      </c>
      <c r="C834" s="68">
        <v>18</v>
      </c>
    </row>
    <row r="835" spans="1:3" x14ac:dyDescent="0.55000000000000004">
      <c r="A835" s="68">
        <v>164</v>
      </c>
      <c r="C835" s="68">
        <v>18</v>
      </c>
    </row>
    <row r="836" spans="1:3" x14ac:dyDescent="0.55000000000000004">
      <c r="A836" s="68">
        <v>164</v>
      </c>
      <c r="C836" s="68">
        <v>18</v>
      </c>
    </row>
    <row r="837" spans="1:3" x14ac:dyDescent="0.55000000000000004">
      <c r="A837" s="68">
        <v>164</v>
      </c>
      <c r="C837" s="68">
        <v>18.36</v>
      </c>
    </row>
    <row r="838" spans="1:3" x14ac:dyDescent="0.55000000000000004">
      <c r="A838" s="68">
        <v>164</v>
      </c>
      <c r="C838" s="68">
        <v>18.36</v>
      </c>
    </row>
    <row r="839" spans="1:3" x14ac:dyDescent="0.55000000000000004">
      <c r="A839" s="68">
        <v>164</v>
      </c>
      <c r="C839" s="68">
        <v>18.36</v>
      </c>
    </row>
    <row r="840" spans="1:3" x14ac:dyDescent="0.55000000000000004">
      <c r="A840" s="68">
        <v>164</v>
      </c>
      <c r="C840" s="68">
        <v>18.36</v>
      </c>
    </row>
    <row r="841" spans="1:3" x14ac:dyDescent="0.55000000000000004">
      <c r="A841" s="68">
        <v>164</v>
      </c>
      <c r="C841" s="68">
        <v>18.73</v>
      </c>
    </row>
    <row r="842" spans="1:3" x14ac:dyDescent="0.55000000000000004">
      <c r="A842" s="68">
        <v>164</v>
      </c>
      <c r="C842" s="68">
        <v>18.73</v>
      </c>
    </row>
    <row r="843" spans="1:3" x14ac:dyDescent="0.55000000000000004">
      <c r="A843" s="68">
        <v>164</v>
      </c>
      <c r="C843" s="68">
        <v>18.73</v>
      </c>
    </row>
    <row r="844" spans="1:3" x14ac:dyDescent="0.55000000000000004">
      <c r="A844" s="68">
        <v>164</v>
      </c>
      <c r="C844" s="68">
        <v>18.73</v>
      </c>
    </row>
    <row r="845" spans="1:3" x14ac:dyDescent="0.55000000000000004">
      <c r="A845" s="68">
        <v>164</v>
      </c>
      <c r="C845" s="68">
        <v>18.73</v>
      </c>
    </row>
    <row r="846" spans="1:3" x14ac:dyDescent="0.55000000000000004">
      <c r="A846" s="68">
        <v>164</v>
      </c>
      <c r="C846" s="68">
        <v>18.73</v>
      </c>
    </row>
    <row r="847" spans="1:3" x14ac:dyDescent="0.55000000000000004">
      <c r="A847" s="68">
        <v>164</v>
      </c>
      <c r="C847" s="68">
        <v>18.73</v>
      </c>
    </row>
    <row r="848" spans="1:3" x14ac:dyDescent="0.55000000000000004">
      <c r="A848" s="68">
        <v>164</v>
      </c>
      <c r="C848" s="68">
        <v>19.100000000000001</v>
      </c>
    </row>
    <row r="849" spans="1:3" x14ac:dyDescent="0.55000000000000004">
      <c r="A849" s="68">
        <v>164</v>
      </c>
      <c r="C849" s="68">
        <v>19.100000000000001</v>
      </c>
    </row>
    <row r="850" spans="1:3" x14ac:dyDescent="0.55000000000000004">
      <c r="A850" s="68">
        <v>164</v>
      </c>
      <c r="C850" s="68">
        <v>19.100000000000001</v>
      </c>
    </row>
    <row r="851" spans="1:3" x14ac:dyDescent="0.55000000000000004">
      <c r="A851" s="68">
        <v>164</v>
      </c>
      <c r="C851" s="68">
        <v>19.48</v>
      </c>
    </row>
    <row r="852" spans="1:3" x14ac:dyDescent="0.55000000000000004">
      <c r="A852" s="68">
        <v>164</v>
      </c>
      <c r="C852" s="68">
        <v>19.48</v>
      </c>
    </row>
    <row r="853" spans="1:3" x14ac:dyDescent="0.55000000000000004">
      <c r="A853" s="68">
        <v>164</v>
      </c>
      <c r="C853" s="68">
        <v>20.27</v>
      </c>
    </row>
    <row r="854" spans="1:3" x14ac:dyDescent="0.55000000000000004">
      <c r="A854" s="68">
        <v>164</v>
      </c>
      <c r="C854" s="68">
        <v>20.68</v>
      </c>
    </row>
    <row r="855" spans="1:3" x14ac:dyDescent="0.55000000000000004">
      <c r="A855" s="68">
        <v>164</v>
      </c>
      <c r="C855" s="68">
        <v>20.68</v>
      </c>
    </row>
    <row r="856" spans="1:3" x14ac:dyDescent="0.55000000000000004">
      <c r="A856" s="68">
        <v>164</v>
      </c>
      <c r="C856" s="68">
        <v>20.68</v>
      </c>
    </row>
    <row r="857" spans="1:3" x14ac:dyDescent="0.55000000000000004">
      <c r="A857" s="68">
        <v>164</v>
      </c>
      <c r="C857" s="68">
        <v>20.68</v>
      </c>
    </row>
    <row r="858" spans="1:3" x14ac:dyDescent="0.55000000000000004">
      <c r="A858" s="68">
        <v>164</v>
      </c>
      <c r="C858" s="68">
        <v>21.09</v>
      </c>
    </row>
    <row r="859" spans="1:3" x14ac:dyDescent="0.55000000000000004">
      <c r="A859" s="68">
        <v>164</v>
      </c>
      <c r="C859" s="68">
        <v>21.09</v>
      </c>
    </row>
    <row r="860" spans="1:3" x14ac:dyDescent="0.55000000000000004">
      <c r="A860" s="68">
        <v>164</v>
      </c>
      <c r="C860" s="68">
        <v>21.27</v>
      </c>
    </row>
    <row r="861" spans="1:3" x14ac:dyDescent="0.55000000000000004">
      <c r="A861" s="68">
        <v>164</v>
      </c>
      <c r="C861" s="68">
        <v>21.94</v>
      </c>
    </row>
    <row r="862" spans="1:3" x14ac:dyDescent="0.55000000000000004">
      <c r="A862" s="68">
        <v>164</v>
      </c>
      <c r="C862" s="68">
        <v>21.94</v>
      </c>
    </row>
    <row r="863" spans="1:3" x14ac:dyDescent="0.55000000000000004">
      <c r="A863" s="68">
        <v>164</v>
      </c>
      <c r="C863" s="68">
        <v>22.09</v>
      </c>
    </row>
    <row r="864" spans="1:3" x14ac:dyDescent="0.55000000000000004">
      <c r="A864" s="68">
        <v>164</v>
      </c>
      <c r="C864" s="68">
        <v>23.28</v>
      </c>
    </row>
    <row r="865" spans="1:3" x14ac:dyDescent="0.55000000000000004">
      <c r="A865" s="68">
        <v>164</v>
      </c>
      <c r="C865" s="68">
        <v>23.75</v>
      </c>
    </row>
    <row r="866" spans="1:3" x14ac:dyDescent="0.55000000000000004">
      <c r="A866" s="68">
        <v>164</v>
      </c>
      <c r="C866" s="68">
        <v>24.23</v>
      </c>
    </row>
    <row r="867" spans="1:3" x14ac:dyDescent="0.55000000000000004">
      <c r="A867" s="68">
        <v>164</v>
      </c>
      <c r="C867" s="68">
        <v>24.23</v>
      </c>
    </row>
    <row r="868" spans="1:3" x14ac:dyDescent="0.55000000000000004">
      <c r="A868" s="68">
        <v>164</v>
      </c>
      <c r="C868" s="68">
        <v>24.23</v>
      </c>
    </row>
    <row r="869" spans="1:3" x14ac:dyDescent="0.55000000000000004">
      <c r="A869" s="68">
        <v>164</v>
      </c>
      <c r="C869" s="68">
        <v>24.71</v>
      </c>
    </row>
    <row r="870" spans="1:3" x14ac:dyDescent="0.55000000000000004">
      <c r="A870" s="68">
        <v>164</v>
      </c>
      <c r="C870" s="68">
        <v>24.71</v>
      </c>
    </row>
    <row r="871" spans="1:3" x14ac:dyDescent="0.55000000000000004">
      <c r="A871" s="68">
        <v>164</v>
      </c>
      <c r="C871" s="68">
        <v>24.71</v>
      </c>
    </row>
    <row r="872" spans="1:3" x14ac:dyDescent="0.55000000000000004">
      <c r="A872" s="68">
        <v>164</v>
      </c>
      <c r="C872" s="68">
        <v>24.71</v>
      </c>
    </row>
    <row r="873" spans="1:3" x14ac:dyDescent="0.55000000000000004">
      <c r="A873" s="68">
        <v>164</v>
      </c>
      <c r="C873" s="68">
        <v>24.71</v>
      </c>
    </row>
    <row r="874" spans="1:3" x14ac:dyDescent="0.55000000000000004">
      <c r="A874" s="68">
        <v>164</v>
      </c>
      <c r="C874" s="68">
        <v>24.71</v>
      </c>
    </row>
    <row r="875" spans="1:3" x14ac:dyDescent="0.55000000000000004">
      <c r="A875" s="68">
        <v>164</v>
      </c>
      <c r="C875" s="68">
        <v>24.71</v>
      </c>
    </row>
    <row r="876" spans="1:3" x14ac:dyDescent="0.55000000000000004">
      <c r="A876" s="68">
        <v>164</v>
      </c>
      <c r="C876" s="68">
        <v>24.71</v>
      </c>
    </row>
    <row r="877" spans="1:3" x14ac:dyDescent="0.55000000000000004">
      <c r="A877" s="68">
        <v>164</v>
      </c>
      <c r="C877" s="68">
        <v>25.71</v>
      </c>
    </row>
    <row r="878" spans="1:3" x14ac:dyDescent="0.55000000000000004">
      <c r="A878" s="68">
        <v>156</v>
      </c>
      <c r="C878" s="68">
        <v>19.600000000000001</v>
      </c>
    </row>
    <row r="879" spans="1:3" x14ac:dyDescent="0.55000000000000004">
      <c r="A879" s="68">
        <v>156</v>
      </c>
      <c r="C879" s="68">
        <v>19.010000000000002</v>
      </c>
    </row>
    <row r="880" spans="1:3" x14ac:dyDescent="0.55000000000000004">
      <c r="A880" s="68">
        <v>156</v>
      </c>
      <c r="C880" s="68">
        <v>23.12</v>
      </c>
    </row>
    <row r="881" spans="1:3" x14ac:dyDescent="0.55000000000000004">
      <c r="A881" s="68">
        <v>156</v>
      </c>
      <c r="C881" s="68">
        <v>19.23</v>
      </c>
    </row>
    <row r="882" spans="1:3" x14ac:dyDescent="0.55000000000000004">
      <c r="A882" s="68">
        <v>156</v>
      </c>
      <c r="C882" s="68">
        <v>21.54</v>
      </c>
    </row>
    <row r="883" spans="1:3" x14ac:dyDescent="0.55000000000000004">
      <c r="A883" s="68">
        <v>156</v>
      </c>
      <c r="C883" s="68">
        <v>26.81</v>
      </c>
    </row>
    <row r="884" spans="1:3" x14ac:dyDescent="0.55000000000000004">
      <c r="A884" s="68">
        <v>156</v>
      </c>
      <c r="C884" s="68">
        <v>26.81</v>
      </c>
    </row>
    <row r="885" spans="1:3" x14ac:dyDescent="0.55000000000000004">
      <c r="A885" s="68">
        <v>156</v>
      </c>
      <c r="C885" s="68">
        <v>18.45</v>
      </c>
    </row>
    <row r="886" spans="1:3" x14ac:dyDescent="0.55000000000000004">
      <c r="A886" s="68">
        <v>156</v>
      </c>
      <c r="C886" s="68">
        <v>21.37</v>
      </c>
    </row>
    <row r="887" spans="1:3" x14ac:dyDescent="0.55000000000000004">
      <c r="A887" s="68">
        <v>156</v>
      </c>
      <c r="C887" s="68">
        <v>18.16</v>
      </c>
    </row>
    <row r="888" spans="1:3" x14ac:dyDescent="0.55000000000000004">
      <c r="A888" s="68">
        <v>156</v>
      </c>
      <c r="C888" s="68">
        <v>18.97</v>
      </c>
    </row>
    <row r="889" spans="1:3" x14ac:dyDescent="0.55000000000000004">
      <c r="A889" s="68">
        <v>156</v>
      </c>
      <c r="C889" s="68">
        <v>19.04</v>
      </c>
    </row>
    <row r="890" spans="1:3" x14ac:dyDescent="0.55000000000000004">
      <c r="A890" s="68">
        <v>156</v>
      </c>
      <c r="C890" s="68">
        <v>20</v>
      </c>
    </row>
    <row r="891" spans="1:3" x14ac:dyDescent="0.55000000000000004">
      <c r="A891" s="68">
        <v>156</v>
      </c>
      <c r="C891" s="68">
        <v>22.82</v>
      </c>
    </row>
    <row r="892" spans="1:3" x14ac:dyDescent="0.55000000000000004">
      <c r="A892" s="68">
        <v>156</v>
      </c>
      <c r="C892" s="68">
        <v>19.07</v>
      </c>
    </row>
    <row r="893" spans="1:3" x14ac:dyDescent="0.55000000000000004">
      <c r="A893" s="68">
        <v>156</v>
      </c>
      <c r="C893" s="68">
        <v>21.63</v>
      </c>
    </row>
    <row r="894" spans="1:3" x14ac:dyDescent="0.55000000000000004">
      <c r="A894" s="68">
        <v>156</v>
      </c>
      <c r="C894" s="68">
        <v>26.65</v>
      </c>
    </row>
    <row r="895" spans="1:3" x14ac:dyDescent="0.55000000000000004">
      <c r="A895" s="68">
        <v>156</v>
      </c>
      <c r="C895" s="68">
        <v>19.25</v>
      </c>
    </row>
    <row r="896" spans="1:3" x14ac:dyDescent="0.55000000000000004">
      <c r="A896" s="68">
        <v>156</v>
      </c>
      <c r="C896" s="68">
        <v>22.75</v>
      </c>
    </row>
    <row r="897" spans="1:3" x14ac:dyDescent="0.55000000000000004">
      <c r="A897" s="68">
        <v>156</v>
      </c>
      <c r="C897" s="68">
        <v>20.6</v>
      </c>
    </row>
    <row r="898" spans="1:3" x14ac:dyDescent="0.55000000000000004">
      <c r="A898" s="68">
        <v>156</v>
      </c>
      <c r="C898" s="68">
        <v>22.57</v>
      </c>
    </row>
    <row r="899" spans="1:3" x14ac:dyDescent="0.55000000000000004">
      <c r="A899" s="68">
        <v>156</v>
      </c>
      <c r="C899" s="68">
        <v>19.79</v>
      </c>
    </row>
    <row r="900" spans="1:3" x14ac:dyDescent="0.55000000000000004">
      <c r="A900" s="68">
        <v>156</v>
      </c>
      <c r="C900" s="68">
        <v>19.75</v>
      </c>
    </row>
    <row r="901" spans="1:3" x14ac:dyDescent="0.55000000000000004">
      <c r="A901" s="68">
        <v>156</v>
      </c>
      <c r="C901" s="68">
        <v>24.29</v>
      </c>
    </row>
    <row r="902" spans="1:3" x14ac:dyDescent="0.55000000000000004">
      <c r="A902" s="68">
        <v>156</v>
      </c>
      <c r="C902" s="68">
        <v>25.74</v>
      </c>
    </row>
    <row r="903" spans="1:3" x14ac:dyDescent="0.55000000000000004">
      <c r="A903" s="68">
        <v>156</v>
      </c>
      <c r="C903" s="68">
        <v>21.5</v>
      </c>
    </row>
    <row r="904" spans="1:3" x14ac:dyDescent="0.55000000000000004">
      <c r="A904" s="68">
        <v>156</v>
      </c>
      <c r="C904" s="68">
        <v>18.079999999999998</v>
      </c>
    </row>
    <row r="905" spans="1:3" x14ac:dyDescent="0.55000000000000004">
      <c r="A905" s="68">
        <v>156</v>
      </c>
      <c r="C905" s="68">
        <v>25.12</v>
      </c>
    </row>
    <row r="906" spans="1:3" x14ac:dyDescent="0.55000000000000004">
      <c r="A906" s="68">
        <v>156</v>
      </c>
      <c r="C906" s="68">
        <v>19.100000000000001</v>
      </c>
    </row>
    <row r="907" spans="1:3" x14ac:dyDescent="0.55000000000000004">
      <c r="A907" s="68">
        <v>597</v>
      </c>
      <c r="C907" s="68">
        <v>20.3</v>
      </c>
    </row>
    <row r="908" spans="1:3" x14ac:dyDescent="0.55000000000000004">
      <c r="A908" s="68">
        <v>597</v>
      </c>
      <c r="C908" s="68">
        <v>20.5</v>
      </c>
    </row>
    <row r="909" spans="1:3" x14ac:dyDescent="0.55000000000000004">
      <c r="A909" s="68">
        <v>597</v>
      </c>
      <c r="C909" s="68">
        <v>19.7</v>
      </c>
    </row>
    <row r="910" spans="1:3" x14ac:dyDescent="0.55000000000000004">
      <c r="A910" s="68">
        <v>597</v>
      </c>
      <c r="C910" s="68">
        <v>20.7</v>
      </c>
    </row>
    <row r="911" spans="1:3" x14ac:dyDescent="0.55000000000000004">
      <c r="A911" s="68">
        <v>597</v>
      </c>
      <c r="C911" s="68">
        <v>20.100000000000001</v>
      </c>
    </row>
    <row r="912" spans="1:3" x14ac:dyDescent="0.55000000000000004">
      <c r="A912" s="68">
        <v>597</v>
      </c>
      <c r="C912" s="68">
        <v>21.5</v>
      </c>
    </row>
    <row r="913" spans="1:3" x14ac:dyDescent="0.55000000000000004">
      <c r="A913" s="68">
        <v>597</v>
      </c>
      <c r="C913" s="68">
        <v>19.5</v>
      </c>
    </row>
    <row r="914" spans="1:3" x14ac:dyDescent="0.55000000000000004">
      <c r="A914" s="68">
        <v>203</v>
      </c>
      <c r="C914" s="68">
        <v>20.55</v>
      </c>
    </row>
    <row r="915" spans="1:3" x14ac:dyDescent="0.55000000000000004">
      <c r="A915" s="68">
        <v>203</v>
      </c>
      <c r="C915" s="68">
        <v>20.399999999999999</v>
      </c>
    </row>
    <row r="916" spans="1:3" x14ac:dyDescent="0.55000000000000004">
      <c r="A916" s="68">
        <v>203</v>
      </c>
      <c r="C916" s="68">
        <v>21</v>
      </c>
    </row>
    <row r="917" spans="1:3" x14ac:dyDescent="0.55000000000000004">
      <c r="A917" s="68">
        <v>203</v>
      </c>
      <c r="C917" s="68">
        <v>21</v>
      </c>
    </row>
    <row r="918" spans="1:3" x14ac:dyDescent="0.55000000000000004">
      <c r="A918" s="68">
        <v>203</v>
      </c>
      <c r="C918" s="68">
        <v>20.7</v>
      </c>
    </row>
    <row r="919" spans="1:3" x14ac:dyDescent="0.55000000000000004">
      <c r="A919" s="68">
        <v>203</v>
      </c>
      <c r="C919" s="68">
        <v>20.55</v>
      </c>
    </row>
    <row r="920" spans="1:3" x14ac:dyDescent="0.55000000000000004">
      <c r="A920" s="68">
        <v>203</v>
      </c>
      <c r="C920" s="68">
        <v>20.399999999999999</v>
      </c>
    </row>
    <row r="921" spans="1:3" x14ac:dyDescent="0.55000000000000004">
      <c r="A921" s="68">
        <v>203</v>
      </c>
      <c r="C921" s="68">
        <v>20.3</v>
      </c>
    </row>
    <row r="922" spans="1:3" x14ac:dyDescent="0.55000000000000004">
      <c r="A922" s="68">
        <v>203</v>
      </c>
      <c r="C922" s="68">
        <v>20.55</v>
      </c>
    </row>
    <row r="923" spans="1:3" x14ac:dyDescent="0.55000000000000004">
      <c r="A923" s="68">
        <v>203</v>
      </c>
      <c r="C923" s="68">
        <v>20.3</v>
      </c>
    </row>
    <row r="924" spans="1:3" x14ac:dyDescent="0.55000000000000004">
      <c r="A924" s="68">
        <v>203</v>
      </c>
      <c r="C924" s="68">
        <v>20.3</v>
      </c>
    </row>
    <row r="925" spans="1:3" x14ac:dyDescent="0.55000000000000004">
      <c r="A925" s="68">
        <v>203</v>
      </c>
      <c r="C925" s="68">
        <v>20</v>
      </c>
    </row>
    <row r="926" spans="1:3" x14ac:dyDescent="0.55000000000000004">
      <c r="A926" s="68">
        <v>203</v>
      </c>
      <c r="C926" s="68">
        <v>20.55</v>
      </c>
    </row>
    <row r="927" spans="1:3" x14ac:dyDescent="0.55000000000000004">
      <c r="A927" s="68">
        <v>203</v>
      </c>
      <c r="C927" s="68">
        <v>20.5</v>
      </c>
    </row>
    <row r="928" spans="1:3" x14ac:dyDescent="0.55000000000000004">
      <c r="A928" s="68">
        <v>203</v>
      </c>
      <c r="C928" s="68">
        <v>21</v>
      </c>
    </row>
    <row r="929" spans="1:3" x14ac:dyDescent="0.55000000000000004">
      <c r="A929" s="68">
        <v>203</v>
      </c>
      <c r="C929" s="68">
        <v>19.38</v>
      </c>
    </row>
    <row r="930" spans="1:3" x14ac:dyDescent="0.55000000000000004">
      <c r="A930" s="68">
        <v>203</v>
      </c>
      <c r="C930" s="68">
        <v>19.38</v>
      </c>
    </row>
    <row r="931" spans="1:3" x14ac:dyDescent="0.55000000000000004">
      <c r="A931" s="68">
        <v>203</v>
      </c>
      <c r="C931" s="68">
        <v>19</v>
      </c>
    </row>
    <row r="932" spans="1:3" x14ac:dyDescent="0.55000000000000004">
      <c r="A932" s="68">
        <v>203</v>
      </c>
      <c r="C932" s="68">
        <v>19.38</v>
      </c>
    </row>
    <row r="933" spans="1:3" x14ac:dyDescent="0.55000000000000004">
      <c r="A933" s="68">
        <v>203</v>
      </c>
      <c r="C933" s="68">
        <v>19</v>
      </c>
    </row>
    <row r="934" spans="1:3" x14ac:dyDescent="0.55000000000000004">
      <c r="A934" s="68">
        <v>203</v>
      </c>
      <c r="C934" s="68">
        <v>17</v>
      </c>
    </row>
    <row r="935" spans="1:3" x14ac:dyDescent="0.55000000000000004">
      <c r="A935" s="68">
        <v>203</v>
      </c>
      <c r="C935" s="68">
        <v>19.52</v>
      </c>
    </row>
    <row r="936" spans="1:3" x14ac:dyDescent="0.55000000000000004">
      <c r="A936" s="68">
        <v>203</v>
      </c>
      <c r="C936" s="68">
        <v>19.52</v>
      </c>
    </row>
    <row r="937" spans="1:3" x14ac:dyDescent="0.55000000000000004">
      <c r="A937" s="68">
        <v>203</v>
      </c>
      <c r="C937" s="68">
        <v>19.55</v>
      </c>
    </row>
    <row r="938" spans="1:3" x14ac:dyDescent="0.55000000000000004">
      <c r="A938" s="68">
        <v>203</v>
      </c>
      <c r="C938" s="68">
        <v>28</v>
      </c>
    </row>
    <row r="939" spans="1:3" x14ac:dyDescent="0.55000000000000004">
      <c r="A939" s="68">
        <v>203</v>
      </c>
      <c r="C939" s="68">
        <v>19.29</v>
      </c>
    </row>
    <row r="940" spans="1:3" x14ac:dyDescent="0.55000000000000004">
      <c r="A940" s="68">
        <v>203</v>
      </c>
      <c r="C940" s="68">
        <v>19.190000000000001</v>
      </c>
    </row>
    <row r="941" spans="1:3" x14ac:dyDescent="0.55000000000000004">
      <c r="A941" s="68">
        <v>203</v>
      </c>
      <c r="C941" s="68">
        <v>19.52</v>
      </c>
    </row>
    <row r="942" spans="1:3" x14ac:dyDescent="0.55000000000000004">
      <c r="A942" s="68">
        <v>203</v>
      </c>
      <c r="C942" s="68">
        <v>20.9</v>
      </c>
    </row>
    <row r="943" spans="1:3" x14ac:dyDescent="0.55000000000000004">
      <c r="A943" s="68">
        <v>203</v>
      </c>
      <c r="C943" s="68">
        <v>19.29</v>
      </c>
    </row>
    <row r="944" spans="1:3" x14ac:dyDescent="0.55000000000000004">
      <c r="A944" s="68">
        <v>203</v>
      </c>
      <c r="C944" s="68">
        <v>19.29</v>
      </c>
    </row>
    <row r="945" spans="1:3" x14ac:dyDescent="0.55000000000000004">
      <c r="A945" s="68">
        <v>203</v>
      </c>
      <c r="C945" s="68">
        <v>22.31</v>
      </c>
    </row>
    <row r="946" spans="1:3" x14ac:dyDescent="0.55000000000000004">
      <c r="A946" s="68">
        <v>203</v>
      </c>
      <c r="C946" s="68">
        <v>19.29</v>
      </c>
    </row>
    <row r="947" spans="1:3" x14ac:dyDescent="0.55000000000000004">
      <c r="A947" s="68">
        <v>203</v>
      </c>
      <c r="C947" s="68">
        <v>19.38</v>
      </c>
    </row>
    <row r="948" spans="1:3" x14ac:dyDescent="0.55000000000000004">
      <c r="A948" s="68">
        <v>203</v>
      </c>
      <c r="C948" s="68">
        <v>19.29</v>
      </c>
    </row>
    <row r="949" spans="1:3" x14ac:dyDescent="0.55000000000000004">
      <c r="A949" s="68">
        <v>203</v>
      </c>
      <c r="C949" s="68">
        <v>19.38</v>
      </c>
    </row>
    <row r="950" spans="1:3" x14ac:dyDescent="0.55000000000000004">
      <c r="A950" s="68">
        <v>203</v>
      </c>
      <c r="C950" s="68">
        <v>19.38</v>
      </c>
    </row>
    <row r="951" spans="1:3" x14ac:dyDescent="0.55000000000000004">
      <c r="A951" s="68">
        <v>203</v>
      </c>
      <c r="C951" s="68">
        <v>19.38</v>
      </c>
    </row>
    <row r="952" spans="1:3" x14ac:dyDescent="0.55000000000000004">
      <c r="A952" s="68">
        <v>203</v>
      </c>
      <c r="C952" s="68">
        <v>19</v>
      </c>
    </row>
    <row r="953" spans="1:3" x14ac:dyDescent="0.55000000000000004">
      <c r="A953" s="68">
        <v>203</v>
      </c>
      <c r="C953" s="68">
        <v>19.38</v>
      </c>
    </row>
    <row r="954" spans="1:3" x14ac:dyDescent="0.55000000000000004">
      <c r="A954" s="68">
        <v>203</v>
      </c>
      <c r="C954" s="68">
        <v>19.38</v>
      </c>
    </row>
    <row r="955" spans="1:3" x14ac:dyDescent="0.55000000000000004">
      <c r="A955" s="68">
        <v>203</v>
      </c>
      <c r="C955" s="68">
        <v>20.16</v>
      </c>
    </row>
    <row r="956" spans="1:3" x14ac:dyDescent="0.55000000000000004">
      <c r="A956" s="68">
        <v>203</v>
      </c>
      <c r="C956" s="68">
        <v>22.31</v>
      </c>
    </row>
    <row r="957" spans="1:3" x14ac:dyDescent="0.55000000000000004">
      <c r="A957" s="68">
        <v>203</v>
      </c>
      <c r="C957" s="68">
        <v>19.52</v>
      </c>
    </row>
    <row r="958" spans="1:3" x14ac:dyDescent="0.55000000000000004">
      <c r="A958" s="68">
        <v>203</v>
      </c>
      <c r="C958" s="68">
        <v>19.29</v>
      </c>
    </row>
    <row r="959" spans="1:3" x14ac:dyDescent="0.55000000000000004">
      <c r="A959" s="68">
        <v>203</v>
      </c>
      <c r="C959" s="68">
        <v>19.29</v>
      </c>
    </row>
    <row r="960" spans="1:3" x14ac:dyDescent="0.55000000000000004">
      <c r="A960" s="68">
        <v>203</v>
      </c>
      <c r="C960" s="68">
        <v>19.329999999999998</v>
      </c>
    </row>
    <row r="961" spans="1:3" x14ac:dyDescent="0.55000000000000004">
      <c r="A961" s="68">
        <v>203</v>
      </c>
      <c r="C961" s="68">
        <v>19.29</v>
      </c>
    </row>
    <row r="962" spans="1:3" x14ac:dyDescent="0.55000000000000004">
      <c r="A962" s="68">
        <v>203</v>
      </c>
      <c r="C962" s="68">
        <v>19.190000000000001</v>
      </c>
    </row>
    <row r="963" spans="1:3" x14ac:dyDescent="0.55000000000000004">
      <c r="A963" s="68">
        <v>203</v>
      </c>
      <c r="C963" s="68">
        <v>19.29</v>
      </c>
    </row>
    <row r="964" spans="1:3" x14ac:dyDescent="0.55000000000000004">
      <c r="A964" s="68">
        <v>203</v>
      </c>
      <c r="C964" s="68">
        <v>19.29</v>
      </c>
    </row>
    <row r="965" spans="1:3" x14ac:dyDescent="0.55000000000000004">
      <c r="A965" s="68">
        <v>203</v>
      </c>
      <c r="C965" s="68">
        <v>17</v>
      </c>
    </row>
    <row r="966" spans="1:3" x14ac:dyDescent="0.55000000000000004">
      <c r="A966" s="68">
        <v>203</v>
      </c>
      <c r="C966" s="68">
        <v>19.29</v>
      </c>
    </row>
    <row r="967" spans="1:3" x14ac:dyDescent="0.55000000000000004">
      <c r="A967" s="68">
        <v>203</v>
      </c>
      <c r="C967" s="68">
        <v>17</v>
      </c>
    </row>
    <row r="968" spans="1:3" x14ac:dyDescent="0.55000000000000004">
      <c r="A968" s="68">
        <v>203</v>
      </c>
      <c r="C968" s="68">
        <v>28</v>
      </c>
    </row>
    <row r="969" spans="1:3" x14ac:dyDescent="0.55000000000000004">
      <c r="A969" s="68">
        <v>203</v>
      </c>
      <c r="C969" s="68">
        <v>19.52</v>
      </c>
    </row>
    <row r="970" spans="1:3" x14ac:dyDescent="0.55000000000000004">
      <c r="A970" s="68">
        <v>203</v>
      </c>
      <c r="C970" s="68">
        <v>19.38</v>
      </c>
    </row>
    <row r="971" spans="1:3" x14ac:dyDescent="0.55000000000000004">
      <c r="A971" s="68">
        <v>203</v>
      </c>
      <c r="C971" s="68">
        <v>19.29</v>
      </c>
    </row>
    <row r="972" spans="1:3" x14ac:dyDescent="0.55000000000000004">
      <c r="A972" s="68">
        <v>203</v>
      </c>
      <c r="C972" s="68">
        <v>19.29</v>
      </c>
    </row>
    <row r="973" spans="1:3" x14ac:dyDescent="0.55000000000000004">
      <c r="A973" s="68">
        <v>203</v>
      </c>
      <c r="C973" s="68">
        <v>19.29</v>
      </c>
    </row>
    <row r="974" spans="1:3" x14ac:dyDescent="0.55000000000000004">
      <c r="A974" s="68">
        <v>203</v>
      </c>
      <c r="C974" s="68">
        <v>19.38</v>
      </c>
    </row>
    <row r="975" spans="1:3" x14ac:dyDescent="0.55000000000000004">
      <c r="A975" s="68">
        <v>203</v>
      </c>
      <c r="C975" s="68">
        <v>28</v>
      </c>
    </row>
    <row r="976" spans="1:3" x14ac:dyDescent="0.55000000000000004">
      <c r="A976" s="68">
        <v>203</v>
      </c>
      <c r="C976" s="68">
        <v>19.29</v>
      </c>
    </row>
    <row r="977" spans="1:3" x14ac:dyDescent="0.55000000000000004">
      <c r="A977" s="68">
        <v>756</v>
      </c>
      <c r="C977" s="68">
        <v>19</v>
      </c>
    </row>
    <row r="978" spans="1:3" x14ac:dyDescent="0.55000000000000004">
      <c r="A978" s="68">
        <v>756</v>
      </c>
      <c r="C978" s="68">
        <v>19</v>
      </c>
    </row>
    <row r="979" spans="1:3" x14ac:dyDescent="0.55000000000000004">
      <c r="A979" s="68">
        <v>756</v>
      </c>
      <c r="C979" s="68">
        <v>19.38</v>
      </c>
    </row>
    <row r="980" spans="1:3" x14ac:dyDescent="0.55000000000000004">
      <c r="A980" s="68">
        <v>756</v>
      </c>
      <c r="C980" s="68">
        <v>22.09</v>
      </c>
    </row>
    <row r="981" spans="1:3" x14ac:dyDescent="0.55000000000000004">
      <c r="A981" s="68">
        <v>756</v>
      </c>
      <c r="C981" s="68">
        <v>19</v>
      </c>
    </row>
    <row r="982" spans="1:3" x14ac:dyDescent="0.55000000000000004">
      <c r="A982" s="68">
        <v>756</v>
      </c>
      <c r="C982" s="68">
        <v>21.22</v>
      </c>
    </row>
    <row r="983" spans="1:3" x14ac:dyDescent="0.55000000000000004">
      <c r="A983" s="68">
        <v>756</v>
      </c>
      <c r="C983" s="68">
        <v>29</v>
      </c>
    </row>
    <row r="984" spans="1:3" x14ac:dyDescent="0.55000000000000004">
      <c r="A984" s="68">
        <v>756</v>
      </c>
      <c r="C984" s="68">
        <v>19</v>
      </c>
    </row>
    <row r="985" spans="1:3" x14ac:dyDescent="0.55000000000000004">
      <c r="A985" s="68">
        <v>756</v>
      </c>
      <c r="C985" s="68">
        <v>20.83</v>
      </c>
    </row>
    <row r="986" spans="1:3" x14ac:dyDescent="0.55000000000000004">
      <c r="A986" s="68">
        <v>756</v>
      </c>
      <c r="C986" s="68">
        <v>21.4</v>
      </c>
    </row>
    <row r="987" spans="1:3" x14ac:dyDescent="0.55000000000000004">
      <c r="A987" s="68">
        <v>756</v>
      </c>
      <c r="C987" s="68">
        <v>20.58</v>
      </c>
    </row>
    <row r="988" spans="1:3" x14ac:dyDescent="0.55000000000000004">
      <c r="A988" s="68">
        <v>777</v>
      </c>
      <c r="C988" s="68">
        <v>21.39</v>
      </c>
    </row>
    <row r="989" spans="1:3" x14ac:dyDescent="0.55000000000000004">
      <c r="A989" s="68">
        <v>777</v>
      </c>
      <c r="C989" s="68">
        <v>19.5</v>
      </c>
    </row>
    <row r="990" spans="1:3" x14ac:dyDescent="0.55000000000000004">
      <c r="A990" s="68">
        <v>777</v>
      </c>
      <c r="C990" s="68">
        <v>19.09</v>
      </c>
    </row>
    <row r="991" spans="1:3" x14ac:dyDescent="0.55000000000000004">
      <c r="A991" s="68">
        <v>777</v>
      </c>
      <c r="C991" s="68">
        <v>19.57</v>
      </c>
    </row>
    <row r="992" spans="1:3" x14ac:dyDescent="0.55000000000000004">
      <c r="A992" s="68">
        <v>777</v>
      </c>
      <c r="C992" s="68">
        <v>21.39</v>
      </c>
    </row>
    <row r="993" spans="1:3" x14ac:dyDescent="0.55000000000000004">
      <c r="A993" s="68">
        <v>777</v>
      </c>
      <c r="C993" s="68">
        <v>19</v>
      </c>
    </row>
    <row r="994" spans="1:3" x14ac:dyDescent="0.55000000000000004">
      <c r="A994" s="68">
        <v>777</v>
      </c>
      <c r="C994" s="68">
        <v>18.27</v>
      </c>
    </row>
    <row r="995" spans="1:3" x14ac:dyDescent="0.55000000000000004">
      <c r="A995" s="68">
        <v>777</v>
      </c>
      <c r="C995" s="68">
        <v>19</v>
      </c>
    </row>
    <row r="996" spans="1:3" x14ac:dyDescent="0.55000000000000004">
      <c r="A996" s="68">
        <v>777</v>
      </c>
      <c r="C996" s="68">
        <v>19.510000000000002</v>
      </c>
    </row>
    <row r="997" spans="1:3" x14ac:dyDescent="0.55000000000000004">
      <c r="A997" s="68">
        <v>777</v>
      </c>
      <c r="C997" s="68">
        <v>19.14</v>
      </c>
    </row>
    <row r="998" spans="1:3" x14ac:dyDescent="0.55000000000000004">
      <c r="A998" s="68">
        <v>183</v>
      </c>
      <c r="C998" s="68">
        <v>23.38</v>
      </c>
    </row>
    <row r="999" spans="1:3" x14ac:dyDescent="0.55000000000000004">
      <c r="A999" s="68">
        <v>183</v>
      </c>
      <c r="C999" s="68">
        <v>26.87</v>
      </c>
    </row>
    <row r="1000" spans="1:3" x14ac:dyDescent="0.55000000000000004">
      <c r="A1000" s="68">
        <v>183</v>
      </c>
      <c r="C1000" s="68">
        <v>17.91</v>
      </c>
    </row>
    <row r="1001" spans="1:3" x14ac:dyDescent="0.55000000000000004">
      <c r="A1001" s="68">
        <v>183</v>
      </c>
      <c r="C1001" s="68">
        <v>24.91</v>
      </c>
    </row>
    <row r="1002" spans="1:3" x14ac:dyDescent="0.55000000000000004">
      <c r="A1002" s="68">
        <v>183</v>
      </c>
      <c r="C1002" s="68">
        <v>22.42</v>
      </c>
    </row>
    <row r="1003" spans="1:3" x14ac:dyDescent="0.55000000000000004">
      <c r="A1003" s="68">
        <v>183</v>
      </c>
      <c r="C1003" s="68">
        <v>26.25</v>
      </c>
    </row>
    <row r="1004" spans="1:3" x14ac:dyDescent="0.55000000000000004">
      <c r="A1004" s="68">
        <v>183</v>
      </c>
      <c r="C1004" s="68">
        <v>19.100000000000001</v>
      </c>
    </row>
    <row r="1005" spans="1:3" x14ac:dyDescent="0.55000000000000004">
      <c r="A1005" s="68">
        <v>183</v>
      </c>
      <c r="C1005" s="68">
        <v>18.87</v>
      </c>
    </row>
    <row r="1006" spans="1:3" x14ac:dyDescent="0.55000000000000004">
      <c r="A1006" s="68">
        <v>183</v>
      </c>
      <c r="C1006" s="68">
        <v>22.74</v>
      </c>
    </row>
    <row r="1007" spans="1:3" x14ac:dyDescent="0.55000000000000004">
      <c r="A1007" s="68">
        <v>183</v>
      </c>
      <c r="C1007" s="68">
        <v>26.28</v>
      </c>
    </row>
    <row r="1008" spans="1:3" x14ac:dyDescent="0.55000000000000004">
      <c r="A1008" s="68">
        <v>183</v>
      </c>
      <c r="C1008" s="68">
        <v>17.91</v>
      </c>
    </row>
    <row r="1009" spans="1:3" x14ac:dyDescent="0.55000000000000004">
      <c r="A1009" s="68">
        <v>183</v>
      </c>
      <c r="C1009" s="68">
        <v>27.31</v>
      </c>
    </row>
    <row r="1010" spans="1:3" x14ac:dyDescent="0.55000000000000004">
      <c r="A1010" s="68">
        <v>183</v>
      </c>
      <c r="C1010" s="68">
        <v>24.18</v>
      </c>
    </row>
    <row r="1011" spans="1:3" x14ac:dyDescent="0.55000000000000004">
      <c r="A1011" s="68">
        <v>183</v>
      </c>
      <c r="C1011" s="68">
        <v>27.31</v>
      </c>
    </row>
    <row r="1012" spans="1:3" x14ac:dyDescent="0.55000000000000004">
      <c r="A1012" s="68">
        <v>173</v>
      </c>
      <c r="C1012" s="68">
        <v>16.899999999999999</v>
      </c>
    </row>
    <row r="1013" spans="1:3" x14ac:dyDescent="0.55000000000000004">
      <c r="A1013" s="68">
        <v>173</v>
      </c>
      <c r="C1013" s="68">
        <v>16.899999999999999</v>
      </c>
    </row>
    <row r="1014" spans="1:3" x14ac:dyDescent="0.55000000000000004">
      <c r="A1014" s="68">
        <v>173</v>
      </c>
      <c r="C1014" s="68">
        <v>17.3</v>
      </c>
    </row>
    <row r="1015" spans="1:3" x14ac:dyDescent="0.55000000000000004">
      <c r="A1015" s="68">
        <v>173</v>
      </c>
      <c r="C1015" s="68">
        <v>18.7</v>
      </c>
    </row>
    <row r="1016" spans="1:3" x14ac:dyDescent="0.55000000000000004">
      <c r="A1016" s="68">
        <v>173</v>
      </c>
      <c r="C1016" s="68">
        <v>18.7</v>
      </c>
    </row>
    <row r="1017" spans="1:3" x14ac:dyDescent="0.55000000000000004">
      <c r="A1017" s="68">
        <v>173</v>
      </c>
      <c r="C1017" s="68">
        <v>18.7</v>
      </c>
    </row>
    <row r="1018" spans="1:3" x14ac:dyDescent="0.55000000000000004">
      <c r="A1018" s="68">
        <v>173</v>
      </c>
      <c r="C1018" s="68">
        <v>18.7</v>
      </c>
    </row>
    <row r="1019" spans="1:3" x14ac:dyDescent="0.55000000000000004">
      <c r="A1019" s="68">
        <v>173</v>
      </c>
      <c r="C1019" s="68">
        <v>18.7</v>
      </c>
    </row>
    <row r="1020" spans="1:3" x14ac:dyDescent="0.55000000000000004">
      <c r="A1020" s="68">
        <v>173</v>
      </c>
      <c r="C1020" s="68">
        <v>18.7</v>
      </c>
    </row>
    <row r="1021" spans="1:3" x14ac:dyDescent="0.55000000000000004">
      <c r="A1021" s="68">
        <v>173</v>
      </c>
      <c r="C1021" s="68">
        <v>18.7</v>
      </c>
    </row>
    <row r="1022" spans="1:3" x14ac:dyDescent="0.55000000000000004">
      <c r="A1022" s="68">
        <v>173</v>
      </c>
      <c r="C1022" s="68">
        <v>18.7</v>
      </c>
    </row>
    <row r="1023" spans="1:3" x14ac:dyDescent="0.55000000000000004">
      <c r="A1023" s="68">
        <v>173</v>
      </c>
      <c r="C1023" s="68">
        <v>18.7</v>
      </c>
    </row>
    <row r="1024" spans="1:3" x14ac:dyDescent="0.55000000000000004">
      <c r="A1024" s="68">
        <v>173</v>
      </c>
      <c r="C1024" s="68">
        <v>18.7</v>
      </c>
    </row>
    <row r="1025" spans="1:3" x14ac:dyDescent="0.55000000000000004">
      <c r="A1025" s="68">
        <v>173</v>
      </c>
      <c r="C1025" s="68">
        <v>18.7</v>
      </c>
    </row>
    <row r="1026" spans="1:3" x14ac:dyDescent="0.55000000000000004">
      <c r="A1026" s="68">
        <v>173</v>
      </c>
      <c r="C1026" s="68">
        <v>18.7</v>
      </c>
    </row>
    <row r="1027" spans="1:3" x14ac:dyDescent="0.55000000000000004">
      <c r="A1027" s="68">
        <v>173</v>
      </c>
      <c r="C1027" s="68">
        <v>18.7</v>
      </c>
    </row>
    <row r="1028" spans="1:3" x14ac:dyDescent="0.55000000000000004">
      <c r="A1028" s="68">
        <v>173</v>
      </c>
      <c r="C1028" s="68">
        <v>18.7</v>
      </c>
    </row>
    <row r="1029" spans="1:3" x14ac:dyDescent="0.55000000000000004">
      <c r="A1029" s="68">
        <v>173</v>
      </c>
      <c r="C1029" s="68">
        <v>19.100000000000001</v>
      </c>
    </row>
    <row r="1030" spans="1:3" x14ac:dyDescent="0.55000000000000004">
      <c r="A1030" s="68">
        <v>173</v>
      </c>
      <c r="C1030" s="68">
        <v>19.100000000000001</v>
      </c>
    </row>
    <row r="1031" spans="1:3" x14ac:dyDescent="0.55000000000000004">
      <c r="A1031" s="68">
        <v>173</v>
      </c>
      <c r="C1031" s="68">
        <v>19.100000000000001</v>
      </c>
    </row>
    <row r="1032" spans="1:3" x14ac:dyDescent="0.55000000000000004">
      <c r="A1032" s="68">
        <v>173</v>
      </c>
      <c r="C1032" s="68">
        <v>19.100000000000001</v>
      </c>
    </row>
    <row r="1033" spans="1:3" x14ac:dyDescent="0.55000000000000004">
      <c r="A1033" s="68">
        <v>173</v>
      </c>
      <c r="C1033" s="68">
        <v>19.100000000000001</v>
      </c>
    </row>
    <row r="1034" spans="1:3" x14ac:dyDescent="0.55000000000000004">
      <c r="A1034" s="68">
        <v>173</v>
      </c>
      <c r="C1034" s="68">
        <v>19.100000000000001</v>
      </c>
    </row>
    <row r="1035" spans="1:3" x14ac:dyDescent="0.55000000000000004">
      <c r="A1035" s="68">
        <v>173</v>
      </c>
      <c r="C1035" s="68">
        <v>19.100000000000001</v>
      </c>
    </row>
    <row r="1036" spans="1:3" x14ac:dyDescent="0.55000000000000004">
      <c r="A1036" s="68">
        <v>173</v>
      </c>
      <c r="C1036" s="68">
        <v>19.100000000000001</v>
      </c>
    </row>
    <row r="1037" spans="1:3" x14ac:dyDescent="0.55000000000000004">
      <c r="A1037" s="68">
        <v>173</v>
      </c>
      <c r="C1037" s="68">
        <v>19.100000000000001</v>
      </c>
    </row>
    <row r="1038" spans="1:3" x14ac:dyDescent="0.55000000000000004">
      <c r="A1038" s="68">
        <v>173</v>
      </c>
      <c r="C1038" s="68">
        <v>19.100000000000001</v>
      </c>
    </row>
    <row r="1039" spans="1:3" x14ac:dyDescent="0.55000000000000004">
      <c r="A1039" s="68">
        <v>173</v>
      </c>
      <c r="C1039" s="68">
        <v>19.100000000000001</v>
      </c>
    </row>
    <row r="1040" spans="1:3" x14ac:dyDescent="0.55000000000000004">
      <c r="A1040" s="68">
        <v>173</v>
      </c>
      <c r="C1040" s="68">
        <v>19.5</v>
      </c>
    </row>
    <row r="1041" spans="1:3" x14ac:dyDescent="0.55000000000000004">
      <c r="A1041" s="68">
        <v>173</v>
      </c>
      <c r="C1041" s="68">
        <v>19.5</v>
      </c>
    </row>
    <row r="1042" spans="1:3" x14ac:dyDescent="0.55000000000000004">
      <c r="A1042" s="68">
        <v>173</v>
      </c>
      <c r="C1042" s="68">
        <v>19.5</v>
      </c>
    </row>
    <row r="1043" spans="1:3" x14ac:dyDescent="0.55000000000000004">
      <c r="A1043" s="68">
        <v>173</v>
      </c>
      <c r="C1043" s="68">
        <v>19.5</v>
      </c>
    </row>
    <row r="1044" spans="1:3" x14ac:dyDescent="0.55000000000000004">
      <c r="A1044" s="68">
        <v>173</v>
      </c>
      <c r="C1044" s="68">
        <v>19.5</v>
      </c>
    </row>
    <row r="1045" spans="1:3" x14ac:dyDescent="0.55000000000000004">
      <c r="A1045" s="68">
        <v>173</v>
      </c>
      <c r="C1045" s="68">
        <v>19.5</v>
      </c>
    </row>
    <row r="1046" spans="1:3" x14ac:dyDescent="0.55000000000000004">
      <c r="A1046" s="68">
        <v>173</v>
      </c>
      <c r="C1046" s="68">
        <v>19.899999999999999</v>
      </c>
    </row>
    <row r="1047" spans="1:3" x14ac:dyDescent="0.55000000000000004">
      <c r="A1047" s="68">
        <v>173</v>
      </c>
      <c r="C1047" s="68">
        <v>19.899999999999999</v>
      </c>
    </row>
    <row r="1048" spans="1:3" x14ac:dyDescent="0.55000000000000004">
      <c r="A1048" s="68">
        <v>173</v>
      </c>
      <c r="C1048" s="68">
        <v>20.6</v>
      </c>
    </row>
    <row r="1049" spans="1:3" x14ac:dyDescent="0.55000000000000004">
      <c r="A1049" s="68">
        <v>173</v>
      </c>
      <c r="C1049" s="68">
        <v>21.2</v>
      </c>
    </row>
    <row r="1050" spans="1:3" x14ac:dyDescent="0.55000000000000004">
      <c r="A1050" s="68">
        <v>173</v>
      </c>
      <c r="C1050" s="68">
        <v>22.2</v>
      </c>
    </row>
    <row r="1051" spans="1:3" x14ac:dyDescent="0.55000000000000004">
      <c r="A1051" s="68">
        <v>604</v>
      </c>
      <c r="C1051" s="68">
        <v>18.5</v>
      </c>
    </row>
    <row r="1052" spans="1:3" x14ac:dyDescent="0.55000000000000004">
      <c r="A1052" s="68">
        <v>604</v>
      </c>
      <c r="C1052" s="68">
        <v>18.5</v>
      </c>
    </row>
    <row r="1053" spans="1:3" x14ac:dyDescent="0.55000000000000004">
      <c r="A1053" s="68">
        <v>604</v>
      </c>
      <c r="C1053" s="68">
        <v>18.96</v>
      </c>
    </row>
    <row r="1054" spans="1:3" x14ac:dyDescent="0.55000000000000004">
      <c r="A1054" s="68">
        <v>604</v>
      </c>
      <c r="C1054" s="68">
        <v>19.23</v>
      </c>
    </row>
    <row r="1055" spans="1:3" x14ac:dyDescent="0.55000000000000004">
      <c r="A1055" s="68">
        <v>604</v>
      </c>
      <c r="C1055" s="68">
        <v>19.23</v>
      </c>
    </row>
    <row r="1056" spans="1:3" x14ac:dyDescent="0.55000000000000004">
      <c r="A1056" s="68">
        <v>604</v>
      </c>
      <c r="C1056" s="68">
        <v>19.64</v>
      </c>
    </row>
    <row r="1057" spans="1:3" x14ac:dyDescent="0.55000000000000004">
      <c r="A1057" s="68">
        <v>604</v>
      </c>
      <c r="C1057" s="68">
        <v>19.940000000000001</v>
      </c>
    </row>
    <row r="1058" spans="1:3" x14ac:dyDescent="0.55000000000000004">
      <c r="A1058" s="68">
        <v>604</v>
      </c>
      <c r="C1058" s="68">
        <v>20.41</v>
      </c>
    </row>
    <row r="1059" spans="1:3" x14ac:dyDescent="0.55000000000000004">
      <c r="A1059" s="68">
        <v>604</v>
      </c>
      <c r="C1059" s="68">
        <v>20.77</v>
      </c>
    </row>
    <row r="1060" spans="1:3" x14ac:dyDescent="0.55000000000000004">
      <c r="A1060" s="68">
        <v>604</v>
      </c>
      <c r="C1060" s="68">
        <v>21.13</v>
      </c>
    </row>
    <row r="1061" spans="1:3" x14ac:dyDescent="0.55000000000000004">
      <c r="A1061" s="68">
        <v>604</v>
      </c>
      <c r="C1061" s="68">
        <v>21.54</v>
      </c>
    </row>
    <row r="1062" spans="1:3" x14ac:dyDescent="0.55000000000000004">
      <c r="A1062" s="68">
        <v>604</v>
      </c>
      <c r="C1062" s="68">
        <v>22.48</v>
      </c>
    </row>
    <row r="1063" spans="1:3" x14ac:dyDescent="0.55000000000000004">
      <c r="A1063" s="68">
        <v>604</v>
      </c>
      <c r="C1063" s="68">
        <v>23.48</v>
      </c>
    </row>
    <row r="1064" spans="1:3" x14ac:dyDescent="0.55000000000000004">
      <c r="A1064" s="68">
        <v>604</v>
      </c>
      <c r="C1064" s="68">
        <v>23.78</v>
      </c>
    </row>
    <row r="1065" spans="1:3" x14ac:dyDescent="0.55000000000000004">
      <c r="A1065" s="68">
        <v>604</v>
      </c>
      <c r="C1065" s="68">
        <v>23.87</v>
      </c>
    </row>
    <row r="1066" spans="1:3" x14ac:dyDescent="0.55000000000000004">
      <c r="A1066" s="68">
        <v>604</v>
      </c>
      <c r="C1066" s="68">
        <v>24.28</v>
      </c>
    </row>
    <row r="1067" spans="1:3" x14ac:dyDescent="0.55000000000000004">
      <c r="A1067" s="68">
        <v>604</v>
      </c>
      <c r="C1067" s="68">
        <v>25.28</v>
      </c>
    </row>
    <row r="1068" spans="1:3" x14ac:dyDescent="0.55000000000000004">
      <c r="A1068" s="68">
        <v>604</v>
      </c>
      <c r="C1068" s="68">
        <v>25.94</v>
      </c>
    </row>
    <row r="1069" spans="1:3" x14ac:dyDescent="0.55000000000000004">
      <c r="A1069" s="68">
        <v>604</v>
      </c>
      <c r="C1069" s="68">
        <v>26.11</v>
      </c>
    </row>
    <row r="1070" spans="1:3" x14ac:dyDescent="0.55000000000000004">
      <c r="A1070" s="68">
        <v>604</v>
      </c>
      <c r="C1070" s="68">
        <v>26.11</v>
      </c>
    </row>
    <row r="1071" spans="1:3" x14ac:dyDescent="0.55000000000000004">
      <c r="A1071" s="68">
        <v>604</v>
      </c>
      <c r="C1071" s="68">
        <v>26.11</v>
      </c>
    </row>
    <row r="1072" spans="1:3" x14ac:dyDescent="0.55000000000000004">
      <c r="A1072" s="68">
        <v>604</v>
      </c>
      <c r="C1072" s="68">
        <v>26.11</v>
      </c>
    </row>
    <row r="1073" spans="1:3" x14ac:dyDescent="0.55000000000000004">
      <c r="A1073" s="68">
        <v>604</v>
      </c>
      <c r="C1073" s="68">
        <v>18.5</v>
      </c>
    </row>
    <row r="1074" spans="1:3" x14ac:dyDescent="0.55000000000000004">
      <c r="A1074" s="68">
        <v>604</v>
      </c>
      <c r="C1074" s="68">
        <v>18.5</v>
      </c>
    </row>
    <row r="1075" spans="1:3" x14ac:dyDescent="0.55000000000000004">
      <c r="A1075" s="68">
        <v>604</v>
      </c>
      <c r="C1075" s="68">
        <v>18.5</v>
      </c>
    </row>
    <row r="1076" spans="1:3" x14ac:dyDescent="0.55000000000000004">
      <c r="A1076" s="68">
        <v>351</v>
      </c>
      <c r="C1076" s="68">
        <v>22.64</v>
      </c>
    </row>
    <row r="1077" spans="1:3" x14ac:dyDescent="0.55000000000000004">
      <c r="A1077" s="68">
        <v>351</v>
      </c>
      <c r="C1077" s="68">
        <v>22.64</v>
      </c>
    </row>
    <row r="1078" spans="1:3" x14ac:dyDescent="0.55000000000000004">
      <c r="A1078" s="68">
        <v>351</v>
      </c>
      <c r="C1078" s="68">
        <v>22.64</v>
      </c>
    </row>
    <row r="1079" spans="1:3" x14ac:dyDescent="0.55000000000000004">
      <c r="A1079" s="68">
        <v>351</v>
      </c>
      <c r="C1079" s="68">
        <v>22.64</v>
      </c>
    </row>
    <row r="1080" spans="1:3" x14ac:dyDescent="0.55000000000000004">
      <c r="A1080" s="68">
        <v>351</v>
      </c>
      <c r="C1080" s="68">
        <v>22.64</v>
      </c>
    </row>
    <row r="1081" spans="1:3" x14ac:dyDescent="0.55000000000000004">
      <c r="A1081" s="68">
        <v>351</v>
      </c>
      <c r="C1081" s="68">
        <v>22.64</v>
      </c>
    </row>
    <row r="1082" spans="1:3" x14ac:dyDescent="0.55000000000000004">
      <c r="A1082" s="68">
        <v>351</v>
      </c>
      <c r="C1082" s="68">
        <v>22.64</v>
      </c>
    </row>
    <row r="1083" spans="1:3" x14ac:dyDescent="0.55000000000000004">
      <c r="A1083" s="68">
        <v>351</v>
      </c>
      <c r="C1083" s="68">
        <v>22.64</v>
      </c>
    </row>
    <row r="1084" spans="1:3" x14ac:dyDescent="0.55000000000000004">
      <c r="A1084" s="68">
        <v>351</v>
      </c>
      <c r="C1084" s="68">
        <v>22.64</v>
      </c>
    </row>
    <row r="1085" spans="1:3" x14ac:dyDescent="0.55000000000000004">
      <c r="A1085" s="68">
        <v>351</v>
      </c>
      <c r="C1085" s="68">
        <v>22.64</v>
      </c>
    </row>
    <row r="1086" spans="1:3" x14ac:dyDescent="0.55000000000000004">
      <c r="A1086" s="68">
        <v>351</v>
      </c>
      <c r="C1086" s="68">
        <v>22.64</v>
      </c>
    </row>
    <row r="1087" spans="1:3" x14ac:dyDescent="0.55000000000000004">
      <c r="A1087" s="68">
        <v>351</v>
      </c>
      <c r="C1087" s="68">
        <v>22.2</v>
      </c>
    </row>
    <row r="1088" spans="1:3" x14ac:dyDescent="0.55000000000000004">
      <c r="A1088" s="68">
        <v>351</v>
      </c>
      <c r="C1088" s="68">
        <v>22.2</v>
      </c>
    </row>
    <row r="1089" spans="1:3" x14ac:dyDescent="0.55000000000000004">
      <c r="A1089" s="68">
        <v>351</v>
      </c>
      <c r="C1089" s="68">
        <v>22.2</v>
      </c>
    </row>
    <row r="1090" spans="1:3" x14ac:dyDescent="0.55000000000000004">
      <c r="A1090" s="68">
        <v>351</v>
      </c>
      <c r="C1090" s="68">
        <v>22.2</v>
      </c>
    </row>
    <row r="1091" spans="1:3" x14ac:dyDescent="0.55000000000000004">
      <c r="A1091" s="68">
        <v>351</v>
      </c>
      <c r="C1091" s="68">
        <v>21.98</v>
      </c>
    </row>
    <row r="1092" spans="1:3" x14ac:dyDescent="0.55000000000000004">
      <c r="A1092" s="68">
        <v>351</v>
      </c>
      <c r="C1092" s="68">
        <v>21.98</v>
      </c>
    </row>
    <row r="1093" spans="1:3" x14ac:dyDescent="0.55000000000000004">
      <c r="A1093" s="68">
        <v>351</v>
      </c>
      <c r="C1093" s="68">
        <v>21.76</v>
      </c>
    </row>
    <row r="1094" spans="1:3" x14ac:dyDescent="0.55000000000000004">
      <c r="A1094" s="68">
        <v>351</v>
      </c>
      <c r="C1094" s="68">
        <v>21.76</v>
      </c>
    </row>
    <row r="1095" spans="1:3" x14ac:dyDescent="0.55000000000000004">
      <c r="A1095" s="68">
        <v>351</v>
      </c>
      <c r="C1095" s="68">
        <v>21.34</v>
      </c>
    </row>
    <row r="1096" spans="1:3" x14ac:dyDescent="0.55000000000000004">
      <c r="A1096" s="68">
        <v>351</v>
      </c>
      <c r="C1096" s="68">
        <v>21.34</v>
      </c>
    </row>
    <row r="1097" spans="1:3" x14ac:dyDescent="0.55000000000000004">
      <c r="A1097" s="68">
        <v>351</v>
      </c>
      <c r="C1097" s="68">
        <v>21.34</v>
      </c>
    </row>
    <row r="1098" spans="1:3" x14ac:dyDescent="0.55000000000000004">
      <c r="A1098" s="68">
        <v>351</v>
      </c>
      <c r="C1098" s="68">
        <v>20.92</v>
      </c>
    </row>
    <row r="1099" spans="1:3" x14ac:dyDescent="0.55000000000000004">
      <c r="A1099" s="68">
        <v>351</v>
      </c>
      <c r="C1099" s="68">
        <v>20.92</v>
      </c>
    </row>
    <row r="1100" spans="1:3" x14ac:dyDescent="0.55000000000000004">
      <c r="A1100" s="68">
        <v>351</v>
      </c>
      <c r="C1100" s="68">
        <v>20.51</v>
      </c>
    </row>
    <row r="1101" spans="1:3" x14ac:dyDescent="0.55000000000000004">
      <c r="A1101" s="68">
        <v>351</v>
      </c>
      <c r="C1101" s="68">
        <v>20.100000000000001</v>
      </c>
    </row>
    <row r="1102" spans="1:3" x14ac:dyDescent="0.55000000000000004">
      <c r="A1102" s="68">
        <v>351</v>
      </c>
      <c r="C1102" s="68">
        <v>20.100000000000001</v>
      </c>
    </row>
    <row r="1103" spans="1:3" x14ac:dyDescent="0.55000000000000004">
      <c r="A1103" s="68">
        <v>351</v>
      </c>
      <c r="C1103" s="68">
        <v>19.71</v>
      </c>
    </row>
    <row r="1104" spans="1:3" x14ac:dyDescent="0.55000000000000004">
      <c r="A1104" s="68">
        <v>351</v>
      </c>
      <c r="C1104" s="68">
        <v>19.71</v>
      </c>
    </row>
    <row r="1105" spans="1:3" x14ac:dyDescent="0.55000000000000004">
      <c r="A1105" s="68">
        <v>351</v>
      </c>
      <c r="C1105" s="68">
        <v>19.71</v>
      </c>
    </row>
    <row r="1106" spans="1:3" x14ac:dyDescent="0.55000000000000004">
      <c r="A1106" s="68">
        <v>351</v>
      </c>
      <c r="C1106" s="68">
        <v>19.71</v>
      </c>
    </row>
    <row r="1107" spans="1:3" x14ac:dyDescent="0.55000000000000004">
      <c r="A1107" s="68">
        <v>351</v>
      </c>
      <c r="C1107" s="68">
        <v>19.71</v>
      </c>
    </row>
    <row r="1108" spans="1:3" x14ac:dyDescent="0.55000000000000004">
      <c r="A1108" s="68">
        <v>351</v>
      </c>
      <c r="C1108" s="68">
        <v>19.32</v>
      </c>
    </row>
    <row r="1109" spans="1:3" x14ac:dyDescent="0.55000000000000004">
      <c r="A1109" s="68">
        <v>351</v>
      </c>
      <c r="C1109" s="68">
        <v>19.32</v>
      </c>
    </row>
    <row r="1110" spans="1:3" x14ac:dyDescent="0.55000000000000004">
      <c r="A1110" s="68">
        <v>351</v>
      </c>
      <c r="C1110" s="68">
        <v>19.32</v>
      </c>
    </row>
    <row r="1111" spans="1:3" x14ac:dyDescent="0.55000000000000004">
      <c r="A1111" s="68">
        <v>351</v>
      </c>
      <c r="C1111" s="68">
        <v>19.32</v>
      </c>
    </row>
    <row r="1112" spans="1:3" x14ac:dyDescent="0.55000000000000004">
      <c r="A1112" s="68">
        <v>351</v>
      </c>
      <c r="C1112" s="68">
        <v>19.32</v>
      </c>
    </row>
    <row r="1113" spans="1:3" x14ac:dyDescent="0.55000000000000004">
      <c r="A1113" s="68">
        <v>351</v>
      </c>
      <c r="C1113" s="68">
        <v>19.32</v>
      </c>
    </row>
    <row r="1114" spans="1:3" x14ac:dyDescent="0.55000000000000004">
      <c r="A1114" s="68">
        <v>351</v>
      </c>
      <c r="C1114" s="68">
        <v>18.940000000000001</v>
      </c>
    </row>
    <row r="1115" spans="1:3" x14ac:dyDescent="0.55000000000000004">
      <c r="A1115" s="68">
        <v>351</v>
      </c>
      <c r="C1115" s="68">
        <v>18.940000000000001</v>
      </c>
    </row>
    <row r="1116" spans="1:3" x14ac:dyDescent="0.55000000000000004">
      <c r="A1116" s="68">
        <v>351</v>
      </c>
      <c r="C1116" s="68">
        <v>18.940000000000001</v>
      </c>
    </row>
    <row r="1117" spans="1:3" x14ac:dyDescent="0.55000000000000004">
      <c r="A1117" s="68">
        <v>351</v>
      </c>
      <c r="C1117" s="68">
        <v>18.940000000000001</v>
      </c>
    </row>
    <row r="1118" spans="1:3" x14ac:dyDescent="0.55000000000000004">
      <c r="A1118" s="68">
        <v>351</v>
      </c>
      <c r="C1118" s="68">
        <v>18.57</v>
      </c>
    </row>
    <row r="1119" spans="1:3" x14ac:dyDescent="0.55000000000000004">
      <c r="A1119" s="68">
        <v>351</v>
      </c>
      <c r="C1119" s="68">
        <v>18.57</v>
      </c>
    </row>
    <row r="1120" spans="1:3" x14ac:dyDescent="0.55000000000000004">
      <c r="A1120" s="68">
        <v>351</v>
      </c>
      <c r="C1120" s="68">
        <v>18.57</v>
      </c>
    </row>
    <row r="1121" spans="1:3" x14ac:dyDescent="0.55000000000000004">
      <c r="A1121" s="68">
        <v>351</v>
      </c>
      <c r="C1121" s="68">
        <v>18.57</v>
      </c>
    </row>
    <row r="1122" spans="1:3" x14ac:dyDescent="0.55000000000000004">
      <c r="A1122" s="68">
        <v>351</v>
      </c>
      <c r="C1122" s="68">
        <v>18.57</v>
      </c>
    </row>
    <row r="1123" spans="1:3" x14ac:dyDescent="0.55000000000000004">
      <c r="A1123" s="68">
        <v>351</v>
      </c>
      <c r="C1123" s="68">
        <v>18.21</v>
      </c>
    </row>
    <row r="1124" spans="1:3" x14ac:dyDescent="0.55000000000000004">
      <c r="A1124" s="68">
        <v>351</v>
      </c>
      <c r="C1124" s="68">
        <v>18.21</v>
      </c>
    </row>
    <row r="1125" spans="1:3" x14ac:dyDescent="0.55000000000000004">
      <c r="A1125" s="68">
        <v>351</v>
      </c>
      <c r="C1125" s="68">
        <v>18.21</v>
      </c>
    </row>
    <row r="1126" spans="1:3" x14ac:dyDescent="0.55000000000000004">
      <c r="A1126" s="68">
        <v>351</v>
      </c>
      <c r="C1126" s="68">
        <v>18.21</v>
      </c>
    </row>
    <row r="1127" spans="1:3" x14ac:dyDescent="0.55000000000000004">
      <c r="A1127" s="68">
        <v>351</v>
      </c>
      <c r="C1127" s="68">
        <v>18.21</v>
      </c>
    </row>
    <row r="1128" spans="1:3" x14ac:dyDescent="0.55000000000000004">
      <c r="A1128" s="68">
        <v>351</v>
      </c>
      <c r="C1128" s="68">
        <v>18.21</v>
      </c>
    </row>
    <row r="1129" spans="1:3" x14ac:dyDescent="0.55000000000000004">
      <c r="A1129" s="68">
        <v>351</v>
      </c>
      <c r="C1129" s="68">
        <v>18.21</v>
      </c>
    </row>
    <row r="1130" spans="1:3" x14ac:dyDescent="0.55000000000000004">
      <c r="A1130" s="68">
        <v>351</v>
      </c>
      <c r="C1130" s="68">
        <v>17.850000000000001</v>
      </c>
    </row>
    <row r="1131" spans="1:3" x14ac:dyDescent="0.55000000000000004">
      <c r="A1131" s="68">
        <v>351</v>
      </c>
      <c r="C1131" s="68">
        <v>17.850000000000001</v>
      </c>
    </row>
    <row r="1132" spans="1:3" x14ac:dyDescent="0.55000000000000004">
      <c r="A1132" s="68">
        <v>351</v>
      </c>
      <c r="C1132" s="68">
        <v>17.850000000000001</v>
      </c>
    </row>
    <row r="1133" spans="1:3" x14ac:dyDescent="0.55000000000000004">
      <c r="A1133" s="68">
        <v>351</v>
      </c>
      <c r="C1133" s="68">
        <v>17.850000000000001</v>
      </c>
    </row>
    <row r="1134" spans="1:3" x14ac:dyDescent="0.55000000000000004">
      <c r="A1134" s="68">
        <v>351</v>
      </c>
      <c r="C1134" s="68">
        <v>17.850000000000001</v>
      </c>
    </row>
    <row r="1135" spans="1:3" x14ac:dyDescent="0.55000000000000004">
      <c r="A1135" s="68">
        <v>701</v>
      </c>
      <c r="C1135" s="68">
        <v>19.8</v>
      </c>
    </row>
    <row r="1136" spans="1:3" x14ac:dyDescent="0.55000000000000004">
      <c r="A1136" s="68">
        <v>701</v>
      </c>
      <c r="C1136" s="68">
        <v>20.2</v>
      </c>
    </row>
    <row r="1137" spans="1:3" x14ac:dyDescent="0.55000000000000004">
      <c r="A1137" s="68">
        <v>701</v>
      </c>
      <c r="C1137" s="68">
        <v>20</v>
      </c>
    </row>
    <row r="1138" spans="1:3" x14ac:dyDescent="0.55000000000000004">
      <c r="A1138" s="68">
        <v>701</v>
      </c>
      <c r="C1138" s="68">
        <v>20.350000000000001</v>
      </c>
    </row>
    <row r="1139" spans="1:3" x14ac:dyDescent="0.55000000000000004">
      <c r="A1139" s="68">
        <v>701</v>
      </c>
      <c r="C1139" s="68">
        <v>20</v>
      </c>
    </row>
    <row r="1140" spans="1:3" x14ac:dyDescent="0.55000000000000004">
      <c r="A1140" s="68">
        <v>701</v>
      </c>
      <c r="C1140" s="68">
        <v>20</v>
      </c>
    </row>
    <row r="1141" spans="1:3" x14ac:dyDescent="0.55000000000000004">
      <c r="A1141" s="68">
        <v>701</v>
      </c>
      <c r="C1141" s="68">
        <v>20.25</v>
      </c>
    </row>
    <row r="1142" spans="1:3" x14ac:dyDescent="0.55000000000000004">
      <c r="A1142" s="68">
        <v>701</v>
      </c>
      <c r="C1142" s="68">
        <v>20</v>
      </c>
    </row>
    <row r="1143" spans="1:3" x14ac:dyDescent="0.55000000000000004">
      <c r="A1143" s="68">
        <v>701</v>
      </c>
      <c r="C1143" s="68">
        <v>20.100000000000001</v>
      </c>
    </row>
    <row r="1144" spans="1:3" x14ac:dyDescent="0.55000000000000004">
      <c r="A1144" s="68">
        <v>701</v>
      </c>
      <c r="C1144" s="68">
        <v>20</v>
      </c>
    </row>
    <row r="1145" spans="1:3" x14ac:dyDescent="0.55000000000000004">
      <c r="A1145" s="68">
        <v>701</v>
      </c>
      <c r="C1145" s="68">
        <v>20</v>
      </c>
    </row>
    <row r="1146" spans="1:3" x14ac:dyDescent="0.55000000000000004">
      <c r="A1146" s="68">
        <v>701</v>
      </c>
      <c r="C1146" s="68">
        <v>23.85</v>
      </c>
    </row>
    <row r="1147" spans="1:3" x14ac:dyDescent="0.55000000000000004">
      <c r="A1147" s="68">
        <v>212</v>
      </c>
      <c r="C1147" s="68">
        <v>18</v>
      </c>
    </row>
    <row r="1148" spans="1:3" x14ac:dyDescent="0.55000000000000004">
      <c r="A1148" s="68">
        <v>212</v>
      </c>
      <c r="C1148" s="68">
        <v>18</v>
      </c>
    </row>
    <row r="1149" spans="1:3" x14ac:dyDescent="0.55000000000000004">
      <c r="A1149" s="68">
        <v>212</v>
      </c>
      <c r="C1149" s="68">
        <v>18</v>
      </c>
    </row>
    <row r="1150" spans="1:3" x14ac:dyDescent="0.55000000000000004">
      <c r="A1150" s="68">
        <v>212</v>
      </c>
      <c r="C1150" s="68">
        <v>18</v>
      </c>
    </row>
    <row r="1151" spans="1:3" x14ac:dyDescent="0.55000000000000004">
      <c r="A1151" s="68">
        <v>212</v>
      </c>
      <c r="C1151" s="68">
        <v>18</v>
      </c>
    </row>
    <row r="1152" spans="1:3" x14ac:dyDescent="0.55000000000000004">
      <c r="A1152" s="68">
        <v>212</v>
      </c>
      <c r="C1152" s="68">
        <v>18</v>
      </c>
    </row>
    <row r="1153" spans="1:3" x14ac:dyDescent="0.55000000000000004">
      <c r="A1153" s="68">
        <v>212</v>
      </c>
      <c r="C1153" s="68">
        <v>18</v>
      </c>
    </row>
    <row r="1154" spans="1:3" x14ac:dyDescent="0.55000000000000004">
      <c r="A1154" s="68">
        <v>212</v>
      </c>
      <c r="C1154" s="68">
        <v>18.28</v>
      </c>
    </row>
    <row r="1155" spans="1:3" x14ac:dyDescent="0.55000000000000004">
      <c r="A1155" s="68">
        <v>212</v>
      </c>
      <c r="C1155" s="68">
        <v>18.510000000000002</v>
      </c>
    </row>
    <row r="1156" spans="1:3" x14ac:dyDescent="0.55000000000000004">
      <c r="A1156" s="68">
        <v>212</v>
      </c>
      <c r="C1156" s="68">
        <v>18.510000000000002</v>
      </c>
    </row>
    <row r="1157" spans="1:3" x14ac:dyDescent="0.55000000000000004">
      <c r="A1157" s="68">
        <v>212</v>
      </c>
      <c r="C1157" s="68">
        <v>18.77</v>
      </c>
    </row>
    <row r="1158" spans="1:3" x14ac:dyDescent="0.55000000000000004">
      <c r="A1158" s="68">
        <v>212</v>
      </c>
      <c r="C1158" s="68">
        <v>19.18</v>
      </c>
    </row>
    <row r="1159" spans="1:3" x14ac:dyDescent="0.55000000000000004">
      <c r="A1159" s="68">
        <v>212</v>
      </c>
      <c r="C1159" s="68">
        <v>20.059999999999999</v>
      </c>
    </row>
    <row r="1160" spans="1:3" x14ac:dyDescent="0.55000000000000004">
      <c r="A1160" s="68">
        <v>212</v>
      </c>
      <c r="C1160" s="68">
        <v>20.059999999999999</v>
      </c>
    </row>
    <row r="1161" spans="1:3" x14ac:dyDescent="0.55000000000000004">
      <c r="A1161" s="68">
        <v>212</v>
      </c>
      <c r="C1161" s="68">
        <v>20.059999999999999</v>
      </c>
    </row>
    <row r="1162" spans="1:3" x14ac:dyDescent="0.55000000000000004">
      <c r="A1162" s="68">
        <v>212</v>
      </c>
      <c r="C1162" s="68">
        <v>21.92</v>
      </c>
    </row>
    <row r="1163" spans="1:3" x14ac:dyDescent="0.55000000000000004">
      <c r="A1163" s="68">
        <v>212</v>
      </c>
      <c r="C1163" s="68">
        <v>21.92</v>
      </c>
    </row>
    <row r="1164" spans="1:3" x14ac:dyDescent="0.55000000000000004">
      <c r="A1164" s="68">
        <v>212</v>
      </c>
      <c r="C1164" s="68">
        <v>23.71</v>
      </c>
    </row>
    <row r="1165" spans="1:3" x14ac:dyDescent="0.55000000000000004">
      <c r="A1165" s="68">
        <v>212</v>
      </c>
      <c r="C1165" s="68">
        <v>23.71</v>
      </c>
    </row>
    <row r="1166" spans="1:3" x14ac:dyDescent="0.55000000000000004">
      <c r="A1166" s="68">
        <v>212</v>
      </c>
      <c r="C1166" s="68">
        <v>23.71</v>
      </c>
    </row>
    <row r="1167" spans="1:3" x14ac:dyDescent="0.55000000000000004">
      <c r="A1167" s="68">
        <v>212</v>
      </c>
      <c r="C1167" s="68">
        <v>24.17</v>
      </c>
    </row>
    <row r="1168" spans="1:3" x14ac:dyDescent="0.55000000000000004">
      <c r="A1168" s="68">
        <v>212</v>
      </c>
      <c r="C1168" s="68">
        <v>24.17</v>
      </c>
    </row>
    <row r="1169" spans="1:3" x14ac:dyDescent="0.55000000000000004">
      <c r="A1169" s="68">
        <v>212</v>
      </c>
      <c r="C1169" s="68">
        <v>24.64</v>
      </c>
    </row>
    <row r="1170" spans="1:3" x14ac:dyDescent="0.55000000000000004">
      <c r="A1170" s="68">
        <v>212</v>
      </c>
      <c r="C1170" s="68">
        <v>24.64</v>
      </c>
    </row>
    <row r="1171" spans="1:3" x14ac:dyDescent="0.55000000000000004">
      <c r="A1171" s="68">
        <v>263</v>
      </c>
      <c r="C1171" s="68">
        <v>21.01</v>
      </c>
    </row>
    <row r="1172" spans="1:3" x14ac:dyDescent="0.55000000000000004">
      <c r="A1172" s="68">
        <v>263</v>
      </c>
      <c r="C1172" s="68">
        <v>21.01</v>
      </c>
    </row>
    <row r="1173" spans="1:3" x14ac:dyDescent="0.55000000000000004">
      <c r="A1173" s="68">
        <v>263</v>
      </c>
      <c r="C1173" s="68">
        <v>21.01</v>
      </c>
    </row>
    <row r="1174" spans="1:3" x14ac:dyDescent="0.55000000000000004">
      <c r="A1174" s="68">
        <v>263</v>
      </c>
      <c r="C1174" s="68">
        <v>21.01</v>
      </c>
    </row>
    <row r="1175" spans="1:3" x14ac:dyDescent="0.55000000000000004">
      <c r="A1175" s="68">
        <v>263</v>
      </c>
      <c r="C1175" s="68">
        <v>21.01</v>
      </c>
    </row>
    <row r="1176" spans="1:3" x14ac:dyDescent="0.55000000000000004">
      <c r="A1176" s="68">
        <v>263</v>
      </c>
      <c r="C1176" s="68">
        <v>21.01</v>
      </c>
    </row>
    <row r="1177" spans="1:3" x14ac:dyDescent="0.55000000000000004">
      <c r="A1177" s="68">
        <v>263</v>
      </c>
      <c r="C1177" s="68">
        <v>21.01</v>
      </c>
    </row>
    <row r="1178" spans="1:3" x14ac:dyDescent="0.55000000000000004">
      <c r="A1178" s="68">
        <v>263</v>
      </c>
      <c r="C1178" s="68">
        <v>21.01</v>
      </c>
    </row>
    <row r="1179" spans="1:3" x14ac:dyDescent="0.55000000000000004">
      <c r="A1179" s="68">
        <v>263</v>
      </c>
      <c r="C1179" s="68">
        <v>21.01</v>
      </c>
    </row>
    <row r="1180" spans="1:3" x14ac:dyDescent="0.55000000000000004">
      <c r="A1180" s="68">
        <v>263</v>
      </c>
      <c r="C1180" s="68">
        <v>21.01</v>
      </c>
    </row>
    <row r="1181" spans="1:3" x14ac:dyDescent="0.55000000000000004">
      <c r="A1181" s="68">
        <v>263</v>
      </c>
      <c r="C1181" s="68">
        <v>21.01</v>
      </c>
    </row>
    <row r="1182" spans="1:3" x14ac:dyDescent="0.55000000000000004">
      <c r="A1182" s="68">
        <v>263</v>
      </c>
      <c r="C1182" s="68">
        <v>21.01</v>
      </c>
    </row>
    <row r="1183" spans="1:3" x14ac:dyDescent="0.55000000000000004">
      <c r="A1183" s="68">
        <v>263</v>
      </c>
      <c r="C1183" s="68">
        <v>21.01</v>
      </c>
    </row>
    <row r="1184" spans="1:3" x14ac:dyDescent="0.55000000000000004">
      <c r="A1184" s="68">
        <v>263</v>
      </c>
      <c r="C1184" s="68">
        <v>21.01</v>
      </c>
    </row>
    <row r="1185" spans="1:3" x14ac:dyDescent="0.55000000000000004">
      <c r="A1185" s="68">
        <v>263</v>
      </c>
      <c r="C1185" s="68">
        <v>20.2</v>
      </c>
    </row>
    <row r="1186" spans="1:3" x14ac:dyDescent="0.55000000000000004">
      <c r="A1186" s="68">
        <v>263</v>
      </c>
      <c r="C1186" s="68">
        <v>20.2</v>
      </c>
    </row>
    <row r="1187" spans="1:3" x14ac:dyDescent="0.55000000000000004">
      <c r="A1187" s="68">
        <v>263</v>
      </c>
      <c r="C1187" s="68">
        <v>18.84</v>
      </c>
    </row>
    <row r="1188" spans="1:3" x14ac:dyDescent="0.55000000000000004">
      <c r="A1188" s="68">
        <v>263</v>
      </c>
      <c r="C1188" s="68">
        <v>18.84</v>
      </c>
    </row>
    <row r="1189" spans="1:3" x14ac:dyDescent="0.55000000000000004">
      <c r="A1189" s="68">
        <v>263</v>
      </c>
      <c r="C1189" s="68">
        <v>17.940000000000001</v>
      </c>
    </row>
    <row r="1190" spans="1:3" x14ac:dyDescent="0.55000000000000004">
      <c r="A1190" s="68">
        <v>951</v>
      </c>
      <c r="C1190" s="68">
        <v>19</v>
      </c>
    </row>
    <row r="1191" spans="1:3" x14ac:dyDescent="0.55000000000000004">
      <c r="A1191" s="68">
        <v>951</v>
      </c>
      <c r="C1191" s="68">
        <v>19</v>
      </c>
    </row>
    <row r="1192" spans="1:3" x14ac:dyDescent="0.55000000000000004">
      <c r="A1192" s="68">
        <v>951</v>
      </c>
      <c r="C1192" s="68">
        <v>19</v>
      </c>
    </row>
    <row r="1193" spans="1:3" x14ac:dyDescent="0.55000000000000004">
      <c r="A1193" s="68">
        <v>951</v>
      </c>
      <c r="C1193" s="68">
        <v>19</v>
      </c>
    </row>
    <row r="1194" spans="1:3" x14ac:dyDescent="0.55000000000000004">
      <c r="A1194" s="68">
        <v>951</v>
      </c>
      <c r="C1194" s="68">
        <v>19</v>
      </c>
    </row>
    <row r="1195" spans="1:3" x14ac:dyDescent="0.55000000000000004">
      <c r="A1195" s="68">
        <v>951</v>
      </c>
      <c r="C1195" s="68">
        <v>19</v>
      </c>
    </row>
    <row r="1196" spans="1:3" x14ac:dyDescent="0.55000000000000004">
      <c r="A1196" s="68">
        <v>951</v>
      </c>
      <c r="C1196" s="68">
        <v>19.5</v>
      </c>
    </row>
    <row r="1197" spans="1:3" x14ac:dyDescent="0.55000000000000004">
      <c r="A1197" s="68">
        <v>951</v>
      </c>
      <c r="C1197" s="68">
        <v>20</v>
      </c>
    </row>
    <row r="1198" spans="1:3" x14ac:dyDescent="0.55000000000000004">
      <c r="A1198" s="68">
        <v>951</v>
      </c>
      <c r="C1198" s="68">
        <v>19</v>
      </c>
    </row>
    <row r="1199" spans="1:3" x14ac:dyDescent="0.55000000000000004">
      <c r="A1199" s="68">
        <v>951</v>
      </c>
      <c r="C1199" s="68">
        <v>19.5</v>
      </c>
    </row>
    <row r="1200" spans="1:3" x14ac:dyDescent="0.55000000000000004">
      <c r="A1200" s="68">
        <v>951</v>
      </c>
      <c r="C1200" s="68">
        <v>19</v>
      </c>
    </row>
    <row r="1201" spans="1:3" x14ac:dyDescent="0.55000000000000004">
      <c r="A1201" s="68">
        <v>951</v>
      </c>
      <c r="C1201" s="68">
        <v>19</v>
      </c>
    </row>
    <row r="1202" spans="1:3" x14ac:dyDescent="0.55000000000000004">
      <c r="A1202" s="68">
        <v>951</v>
      </c>
      <c r="C1202" s="68">
        <v>21</v>
      </c>
    </row>
    <row r="1203" spans="1:3" x14ac:dyDescent="0.55000000000000004">
      <c r="A1203" s="68">
        <v>951</v>
      </c>
      <c r="C1203" s="68">
        <v>19.5</v>
      </c>
    </row>
    <row r="1204" spans="1:3" x14ac:dyDescent="0.55000000000000004">
      <c r="A1204" s="68">
        <v>951</v>
      </c>
      <c r="C1204" s="68">
        <v>20</v>
      </c>
    </row>
    <row r="1205" spans="1:3" x14ac:dyDescent="0.55000000000000004">
      <c r="A1205" s="68">
        <v>951</v>
      </c>
      <c r="C1205" s="68">
        <v>20</v>
      </c>
    </row>
    <row r="1206" spans="1:3" x14ac:dyDescent="0.55000000000000004">
      <c r="A1206" s="68">
        <v>951</v>
      </c>
      <c r="C1206" s="68">
        <v>19</v>
      </c>
    </row>
    <row r="1207" spans="1:3" x14ac:dyDescent="0.55000000000000004">
      <c r="A1207" s="68">
        <v>951</v>
      </c>
      <c r="C1207" s="68">
        <v>20.5</v>
      </c>
    </row>
    <row r="1208" spans="1:3" x14ac:dyDescent="0.55000000000000004">
      <c r="A1208" s="68">
        <v>951</v>
      </c>
      <c r="C1208" s="68">
        <v>19.5</v>
      </c>
    </row>
    <row r="1209" spans="1:3" x14ac:dyDescent="0.55000000000000004">
      <c r="A1209" s="68">
        <v>951</v>
      </c>
      <c r="C1209" s="68">
        <v>19.5</v>
      </c>
    </row>
    <row r="1210" spans="1:3" x14ac:dyDescent="0.55000000000000004">
      <c r="A1210" s="68">
        <v>951</v>
      </c>
      <c r="C1210" s="68">
        <v>19.5</v>
      </c>
    </row>
    <row r="1211" spans="1:3" x14ac:dyDescent="0.55000000000000004">
      <c r="A1211" s="68">
        <v>951</v>
      </c>
      <c r="C1211" s="68">
        <v>20</v>
      </c>
    </row>
    <row r="1212" spans="1:3" x14ac:dyDescent="0.55000000000000004">
      <c r="A1212" s="68">
        <v>951</v>
      </c>
      <c r="C1212" s="68">
        <v>21</v>
      </c>
    </row>
    <row r="1213" spans="1:3" x14ac:dyDescent="0.55000000000000004">
      <c r="A1213" s="68">
        <v>951</v>
      </c>
      <c r="C1213" s="68">
        <v>20</v>
      </c>
    </row>
    <row r="1214" spans="1:3" x14ac:dyDescent="0.55000000000000004">
      <c r="A1214" s="68">
        <v>951</v>
      </c>
      <c r="C1214" s="68">
        <v>20.5</v>
      </c>
    </row>
    <row r="1215" spans="1:3" x14ac:dyDescent="0.55000000000000004">
      <c r="A1215" s="68">
        <v>951</v>
      </c>
      <c r="C1215" s="68">
        <v>19.5</v>
      </c>
    </row>
    <row r="1216" spans="1:3" x14ac:dyDescent="0.55000000000000004">
      <c r="A1216" s="68">
        <v>951</v>
      </c>
      <c r="C1216" s="68">
        <v>19</v>
      </c>
    </row>
    <row r="1217" spans="1:3" x14ac:dyDescent="0.55000000000000004">
      <c r="A1217" s="68">
        <v>951</v>
      </c>
      <c r="C1217" s="68">
        <v>19</v>
      </c>
    </row>
    <row r="1218" spans="1:3" x14ac:dyDescent="0.55000000000000004">
      <c r="A1218" s="68">
        <v>951</v>
      </c>
      <c r="C1218" s="68">
        <v>19</v>
      </c>
    </row>
    <row r="1219" spans="1:3" x14ac:dyDescent="0.55000000000000004">
      <c r="A1219" s="68">
        <v>951</v>
      </c>
      <c r="C1219" s="68">
        <v>20.5</v>
      </c>
    </row>
    <row r="1220" spans="1:3" x14ac:dyDescent="0.55000000000000004">
      <c r="A1220" s="68">
        <v>951</v>
      </c>
      <c r="C1220" s="68">
        <v>19</v>
      </c>
    </row>
    <row r="1221" spans="1:3" x14ac:dyDescent="0.55000000000000004">
      <c r="A1221" s="68">
        <v>951</v>
      </c>
      <c r="C1221" s="68">
        <v>19</v>
      </c>
    </row>
    <row r="1222" spans="1:3" x14ac:dyDescent="0.55000000000000004">
      <c r="A1222" s="68">
        <v>558</v>
      </c>
      <c r="C1222" s="68">
        <v>17.5</v>
      </c>
    </row>
    <row r="1223" spans="1:3" x14ac:dyDescent="0.55000000000000004">
      <c r="A1223" s="68">
        <v>558</v>
      </c>
      <c r="C1223" s="68">
        <v>16.25</v>
      </c>
    </row>
    <row r="1224" spans="1:3" x14ac:dyDescent="0.55000000000000004">
      <c r="A1224" s="68">
        <v>558</v>
      </c>
      <c r="C1224" s="68">
        <v>16.25</v>
      </c>
    </row>
    <row r="1225" spans="1:3" x14ac:dyDescent="0.55000000000000004">
      <c r="A1225" s="68">
        <v>558</v>
      </c>
      <c r="C1225" s="68">
        <v>19</v>
      </c>
    </row>
    <row r="1226" spans="1:3" x14ac:dyDescent="0.55000000000000004">
      <c r="A1226" s="68">
        <v>558</v>
      </c>
      <c r="C1226" s="68">
        <v>20</v>
      </c>
    </row>
    <row r="1227" spans="1:3" x14ac:dyDescent="0.55000000000000004">
      <c r="A1227" s="68">
        <v>558</v>
      </c>
      <c r="C1227" s="68">
        <v>16</v>
      </c>
    </row>
    <row r="1228" spans="1:3" x14ac:dyDescent="0.55000000000000004">
      <c r="A1228" s="68">
        <v>558</v>
      </c>
      <c r="C1228" s="68">
        <v>16</v>
      </c>
    </row>
    <row r="1229" spans="1:3" x14ac:dyDescent="0.55000000000000004">
      <c r="A1229" s="68">
        <v>558</v>
      </c>
      <c r="C1229" s="68">
        <v>18</v>
      </c>
    </row>
    <row r="1230" spans="1:3" x14ac:dyDescent="0.55000000000000004">
      <c r="A1230" s="68">
        <v>558</v>
      </c>
      <c r="C1230" s="68">
        <v>15.25</v>
      </c>
    </row>
    <row r="1231" spans="1:3" x14ac:dyDescent="0.55000000000000004">
      <c r="A1231" s="68">
        <v>558</v>
      </c>
      <c r="C1231" s="68">
        <v>15.75</v>
      </c>
    </row>
    <row r="1232" spans="1:3" x14ac:dyDescent="0.55000000000000004">
      <c r="A1232" s="68">
        <v>558</v>
      </c>
      <c r="C1232" s="68">
        <v>19</v>
      </c>
    </row>
    <row r="1233" spans="1:3" x14ac:dyDescent="0.55000000000000004">
      <c r="A1233" s="68">
        <v>558</v>
      </c>
      <c r="C1233" s="68">
        <v>19.25</v>
      </c>
    </row>
    <row r="1234" spans="1:3" x14ac:dyDescent="0.55000000000000004">
      <c r="A1234" s="68">
        <v>558</v>
      </c>
      <c r="C1234" s="68">
        <v>15.75</v>
      </c>
    </row>
    <row r="1235" spans="1:3" x14ac:dyDescent="0.55000000000000004">
      <c r="A1235" s="68">
        <v>558</v>
      </c>
      <c r="C1235" s="68">
        <v>15.75</v>
      </c>
    </row>
    <row r="1236" spans="1:3" x14ac:dyDescent="0.55000000000000004">
      <c r="A1236" s="68">
        <v>558</v>
      </c>
      <c r="C1236" s="68">
        <v>15.5</v>
      </c>
    </row>
    <row r="1237" spans="1:3" x14ac:dyDescent="0.55000000000000004">
      <c r="A1237" s="68">
        <v>178</v>
      </c>
      <c r="C1237" s="68">
        <v>19.32</v>
      </c>
    </row>
    <row r="1238" spans="1:3" x14ac:dyDescent="0.55000000000000004">
      <c r="A1238" s="68">
        <v>178</v>
      </c>
      <c r="C1238" s="68">
        <v>18.41</v>
      </c>
    </row>
    <row r="1239" spans="1:3" x14ac:dyDescent="0.55000000000000004">
      <c r="A1239" s="68">
        <v>178</v>
      </c>
      <c r="C1239" s="68">
        <v>19.62</v>
      </c>
    </row>
    <row r="1240" spans="1:3" x14ac:dyDescent="0.55000000000000004">
      <c r="A1240" s="68">
        <v>178</v>
      </c>
      <c r="C1240" s="68">
        <v>20.57</v>
      </c>
    </row>
    <row r="1241" spans="1:3" x14ac:dyDescent="0.55000000000000004">
      <c r="A1241" s="68">
        <v>178</v>
      </c>
      <c r="C1241" s="68">
        <v>17.91</v>
      </c>
    </row>
    <row r="1242" spans="1:3" x14ac:dyDescent="0.55000000000000004">
      <c r="A1242" s="68">
        <v>178</v>
      </c>
      <c r="C1242" s="68">
        <v>19.32</v>
      </c>
    </row>
    <row r="1243" spans="1:3" x14ac:dyDescent="0.55000000000000004">
      <c r="A1243" s="68">
        <v>178</v>
      </c>
      <c r="C1243" s="68">
        <v>22.77</v>
      </c>
    </row>
    <row r="1244" spans="1:3" x14ac:dyDescent="0.55000000000000004">
      <c r="A1244" s="68">
        <v>178</v>
      </c>
      <c r="C1244" s="68">
        <v>18.28</v>
      </c>
    </row>
    <row r="1245" spans="1:3" x14ac:dyDescent="0.55000000000000004">
      <c r="A1245" s="68">
        <v>178</v>
      </c>
      <c r="C1245" s="68">
        <v>25.7</v>
      </c>
    </row>
    <row r="1246" spans="1:3" x14ac:dyDescent="0.55000000000000004">
      <c r="A1246" s="68">
        <v>178</v>
      </c>
      <c r="C1246" s="68">
        <v>19.32</v>
      </c>
    </row>
    <row r="1247" spans="1:3" x14ac:dyDescent="0.55000000000000004">
      <c r="A1247" s="68">
        <v>178</v>
      </c>
      <c r="C1247" s="68">
        <v>24.12</v>
      </c>
    </row>
    <row r="1248" spans="1:3" x14ac:dyDescent="0.55000000000000004">
      <c r="A1248" s="68">
        <v>178</v>
      </c>
      <c r="C1248" s="68">
        <v>19.02</v>
      </c>
    </row>
    <row r="1249" spans="1:3" x14ac:dyDescent="0.55000000000000004">
      <c r="A1249" s="68">
        <v>178</v>
      </c>
      <c r="C1249" s="68">
        <v>18.28</v>
      </c>
    </row>
    <row r="1250" spans="1:3" x14ac:dyDescent="0.55000000000000004">
      <c r="A1250" s="68">
        <v>178</v>
      </c>
      <c r="C1250" s="68">
        <v>22.52</v>
      </c>
    </row>
    <row r="1251" spans="1:3" x14ac:dyDescent="0.55000000000000004">
      <c r="A1251" s="68">
        <v>178</v>
      </c>
      <c r="C1251" s="68">
        <v>19.62</v>
      </c>
    </row>
    <row r="1252" spans="1:3" x14ac:dyDescent="0.55000000000000004">
      <c r="A1252" s="68">
        <v>178</v>
      </c>
      <c r="C1252" s="68">
        <v>18.28</v>
      </c>
    </row>
    <row r="1253" spans="1:3" x14ac:dyDescent="0.55000000000000004">
      <c r="A1253" s="68">
        <v>178</v>
      </c>
      <c r="C1253" s="68">
        <v>21.17</v>
      </c>
    </row>
    <row r="1254" spans="1:3" x14ac:dyDescent="0.55000000000000004">
      <c r="A1254" s="68">
        <v>178</v>
      </c>
      <c r="C1254" s="68">
        <v>16.2</v>
      </c>
    </row>
    <row r="1255" spans="1:3" x14ac:dyDescent="0.55000000000000004">
      <c r="A1255" s="68">
        <v>178</v>
      </c>
      <c r="C1255" s="68">
        <v>21.77</v>
      </c>
    </row>
    <row r="1256" spans="1:3" x14ac:dyDescent="0.55000000000000004">
      <c r="A1256" s="68">
        <v>178</v>
      </c>
      <c r="C1256" s="68">
        <v>19.32</v>
      </c>
    </row>
    <row r="1257" spans="1:3" x14ac:dyDescent="0.55000000000000004">
      <c r="A1257" s="68">
        <v>178</v>
      </c>
      <c r="C1257" s="68">
        <v>18.440000000000001</v>
      </c>
    </row>
    <row r="1258" spans="1:3" x14ac:dyDescent="0.55000000000000004">
      <c r="A1258" s="68">
        <v>178</v>
      </c>
      <c r="C1258" s="68">
        <v>17.48</v>
      </c>
    </row>
    <row r="1259" spans="1:3" x14ac:dyDescent="0.55000000000000004">
      <c r="A1259" s="68">
        <v>178</v>
      </c>
      <c r="C1259" s="68">
        <v>18.28</v>
      </c>
    </row>
    <row r="1260" spans="1:3" x14ac:dyDescent="0.55000000000000004">
      <c r="A1260" s="68">
        <v>178</v>
      </c>
      <c r="C1260" s="68">
        <v>19.62</v>
      </c>
    </row>
    <row r="1261" spans="1:3" x14ac:dyDescent="0.55000000000000004">
      <c r="A1261" s="68">
        <v>178</v>
      </c>
      <c r="C1261" s="68">
        <v>17.91</v>
      </c>
    </row>
    <row r="1262" spans="1:3" x14ac:dyDescent="0.55000000000000004">
      <c r="A1262" s="68">
        <v>178</v>
      </c>
      <c r="C1262" s="68">
        <v>17.91</v>
      </c>
    </row>
    <row r="1263" spans="1:3" x14ac:dyDescent="0.55000000000000004">
      <c r="A1263" s="68">
        <v>178</v>
      </c>
      <c r="C1263" s="68">
        <v>19.32</v>
      </c>
    </row>
    <row r="1264" spans="1:3" x14ac:dyDescent="0.55000000000000004">
      <c r="A1264" s="68">
        <v>178</v>
      </c>
      <c r="C1264" s="68">
        <v>16.2</v>
      </c>
    </row>
    <row r="1265" spans="1:3" x14ac:dyDescent="0.55000000000000004">
      <c r="A1265" s="68">
        <v>178</v>
      </c>
      <c r="C1265" s="68">
        <v>20.239999999999998</v>
      </c>
    </row>
    <row r="1266" spans="1:3" x14ac:dyDescent="0.55000000000000004">
      <c r="A1266" s="68">
        <v>178</v>
      </c>
      <c r="C1266" s="68">
        <v>20.239999999999998</v>
      </c>
    </row>
    <row r="1267" spans="1:3" x14ac:dyDescent="0.55000000000000004">
      <c r="A1267" s="68">
        <v>178</v>
      </c>
      <c r="C1267" s="68">
        <v>17.91</v>
      </c>
    </row>
    <row r="1268" spans="1:3" x14ac:dyDescent="0.55000000000000004">
      <c r="A1268" s="68">
        <v>178</v>
      </c>
      <c r="C1268" s="68">
        <v>19.62</v>
      </c>
    </row>
    <row r="1269" spans="1:3" x14ac:dyDescent="0.55000000000000004">
      <c r="A1269" s="68">
        <v>178</v>
      </c>
      <c r="C1269" s="68">
        <v>22.92</v>
      </c>
    </row>
    <row r="1270" spans="1:3" x14ac:dyDescent="0.55000000000000004">
      <c r="A1270" s="68">
        <v>178</v>
      </c>
      <c r="C1270" s="68">
        <v>19.32</v>
      </c>
    </row>
    <row r="1271" spans="1:3" x14ac:dyDescent="0.55000000000000004">
      <c r="A1271" s="68">
        <v>178</v>
      </c>
      <c r="C1271" s="68">
        <v>20.239999999999998</v>
      </c>
    </row>
    <row r="1272" spans="1:3" x14ac:dyDescent="0.55000000000000004">
      <c r="A1272" s="68">
        <v>178</v>
      </c>
      <c r="C1272" s="68">
        <v>23.04</v>
      </c>
    </row>
    <row r="1273" spans="1:3" x14ac:dyDescent="0.55000000000000004">
      <c r="A1273" s="68">
        <v>178</v>
      </c>
      <c r="C1273" s="68">
        <v>17.27</v>
      </c>
    </row>
    <row r="1274" spans="1:3" x14ac:dyDescent="0.55000000000000004">
      <c r="A1274" s="68">
        <v>178</v>
      </c>
      <c r="C1274" s="68">
        <v>16.2</v>
      </c>
    </row>
    <row r="1275" spans="1:3" x14ac:dyDescent="0.55000000000000004">
      <c r="A1275" s="68">
        <v>178</v>
      </c>
      <c r="C1275" s="68">
        <v>19.32</v>
      </c>
    </row>
    <row r="1276" spans="1:3" x14ac:dyDescent="0.55000000000000004">
      <c r="A1276" s="68">
        <v>178</v>
      </c>
      <c r="C1276" s="68">
        <v>24.94</v>
      </c>
    </row>
    <row r="1277" spans="1:3" x14ac:dyDescent="0.55000000000000004">
      <c r="A1277" s="68">
        <v>178</v>
      </c>
      <c r="C1277" s="68">
        <v>21.32</v>
      </c>
    </row>
    <row r="1278" spans="1:3" x14ac:dyDescent="0.55000000000000004">
      <c r="A1278" s="68">
        <v>178</v>
      </c>
      <c r="C1278" s="68">
        <v>20.239999999999998</v>
      </c>
    </row>
    <row r="1279" spans="1:3" x14ac:dyDescent="0.55000000000000004">
      <c r="A1279" s="68">
        <v>178</v>
      </c>
      <c r="C1279" s="68">
        <v>19.32</v>
      </c>
    </row>
    <row r="1280" spans="1:3" x14ac:dyDescent="0.55000000000000004">
      <c r="A1280" s="68">
        <v>178</v>
      </c>
      <c r="C1280" s="68">
        <v>22.67</v>
      </c>
    </row>
    <row r="1281" spans="1:3" x14ac:dyDescent="0.55000000000000004">
      <c r="A1281" s="68">
        <v>277</v>
      </c>
      <c r="C1281" s="68">
        <v>22.71</v>
      </c>
    </row>
    <row r="1282" spans="1:3" x14ac:dyDescent="0.55000000000000004">
      <c r="A1282" s="68">
        <v>277</v>
      </c>
      <c r="C1282" s="68">
        <v>19</v>
      </c>
    </row>
    <row r="1283" spans="1:3" x14ac:dyDescent="0.55000000000000004">
      <c r="A1283" s="68">
        <v>277</v>
      </c>
      <c r="C1283" s="68">
        <v>27.374500000000001</v>
      </c>
    </row>
    <row r="1284" spans="1:3" x14ac:dyDescent="0.55000000000000004">
      <c r="A1284" s="68">
        <v>277</v>
      </c>
      <c r="C1284" s="68">
        <v>21.71</v>
      </c>
    </row>
    <row r="1285" spans="1:3" x14ac:dyDescent="0.55000000000000004">
      <c r="A1285" s="68">
        <v>277</v>
      </c>
      <c r="C1285" s="68">
        <v>21.83</v>
      </c>
    </row>
    <row r="1286" spans="1:3" x14ac:dyDescent="0.55000000000000004">
      <c r="A1286" s="68">
        <v>277</v>
      </c>
      <c r="C1286" s="68">
        <v>27.53</v>
      </c>
    </row>
    <row r="1287" spans="1:3" x14ac:dyDescent="0.55000000000000004">
      <c r="A1287" s="68">
        <v>277</v>
      </c>
      <c r="C1287" s="68">
        <v>22.099900000000002</v>
      </c>
    </row>
    <row r="1288" spans="1:3" x14ac:dyDescent="0.55000000000000004">
      <c r="A1288" s="68">
        <v>277</v>
      </c>
      <c r="C1288" s="68">
        <v>21.829599999999999</v>
      </c>
    </row>
    <row r="1289" spans="1:3" x14ac:dyDescent="0.55000000000000004">
      <c r="A1289" s="68">
        <v>277</v>
      </c>
      <c r="C1289" s="68">
        <v>23.192699999999999</v>
      </c>
    </row>
    <row r="1290" spans="1:3" x14ac:dyDescent="0.55000000000000004">
      <c r="A1290" s="68">
        <v>277</v>
      </c>
      <c r="C1290" s="68">
        <v>19</v>
      </c>
    </row>
    <row r="1291" spans="1:3" x14ac:dyDescent="0.55000000000000004">
      <c r="A1291" s="68">
        <v>277</v>
      </c>
      <c r="C1291" s="68">
        <v>19</v>
      </c>
    </row>
    <row r="1292" spans="1:3" x14ac:dyDescent="0.55000000000000004">
      <c r="A1292" s="68">
        <v>277</v>
      </c>
      <c r="C1292" s="68">
        <v>19</v>
      </c>
    </row>
    <row r="1293" spans="1:3" x14ac:dyDescent="0.55000000000000004">
      <c r="A1293" s="68">
        <v>277</v>
      </c>
      <c r="C1293" s="68">
        <v>27.792000000000002</v>
      </c>
    </row>
    <row r="1294" spans="1:3" x14ac:dyDescent="0.55000000000000004">
      <c r="A1294" s="68">
        <v>277</v>
      </c>
      <c r="C1294" s="68">
        <v>19</v>
      </c>
    </row>
    <row r="1295" spans="1:3" x14ac:dyDescent="0.55000000000000004">
      <c r="A1295" s="68">
        <v>277</v>
      </c>
      <c r="C1295" s="68">
        <v>19</v>
      </c>
    </row>
    <row r="1296" spans="1:3" x14ac:dyDescent="0.55000000000000004">
      <c r="A1296" s="68">
        <v>277</v>
      </c>
      <c r="C1296" s="68">
        <v>22.6053</v>
      </c>
    </row>
    <row r="1297" spans="1:3" x14ac:dyDescent="0.55000000000000004">
      <c r="A1297" s="68">
        <v>277</v>
      </c>
      <c r="C1297" s="68">
        <v>20.25</v>
      </c>
    </row>
    <row r="1298" spans="1:3" x14ac:dyDescent="0.55000000000000004">
      <c r="A1298" s="68">
        <v>277</v>
      </c>
      <c r="C1298" s="68">
        <v>19</v>
      </c>
    </row>
    <row r="1299" spans="1:3" x14ac:dyDescent="0.55000000000000004">
      <c r="A1299" s="68">
        <v>277</v>
      </c>
      <c r="C1299" s="68">
        <v>19</v>
      </c>
    </row>
    <row r="1300" spans="1:3" x14ac:dyDescent="0.55000000000000004">
      <c r="A1300" s="68">
        <v>277</v>
      </c>
      <c r="C1300" s="68">
        <v>26.470500000000001</v>
      </c>
    </row>
    <row r="1301" spans="1:3" x14ac:dyDescent="0.55000000000000004">
      <c r="A1301" s="68">
        <v>277</v>
      </c>
      <c r="C1301" s="68">
        <v>22.26</v>
      </c>
    </row>
    <row r="1302" spans="1:3" x14ac:dyDescent="0.55000000000000004">
      <c r="A1302" s="68">
        <v>277</v>
      </c>
      <c r="C1302" s="68">
        <v>19</v>
      </c>
    </row>
    <row r="1303" spans="1:3" x14ac:dyDescent="0.55000000000000004">
      <c r="A1303" s="68">
        <v>826</v>
      </c>
      <c r="C1303" s="68">
        <v>17</v>
      </c>
    </row>
    <row r="1304" spans="1:3" x14ac:dyDescent="0.55000000000000004">
      <c r="A1304" s="68">
        <v>826</v>
      </c>
      <c r="C1304" s="68">
        <v>17</v>
      </c>
    </row>
    <row r="1305" spans="1:3" x14ac:dyDescent="0.55000000000000004">
      <c r="A1305" s="68">
        <v>826</v>
      </c>
      <c r="C1305" s="68">
        <v>18</v>
      </c>
    </row>
    <row r="1306" spans="1:3" x14ac:dyDescent="0.55000000000000004">
      <c r="A1306" s="68">
        <v>826</v>
      </c>
      <c r="C1306" s="68">
        <v>18.27</v>
      </c>
    </row>
    <row r="1307" spans="1:3" x14ac:dyDescent="0.55000000000000004">
      <c r="A1307" s="68">
        <v>826</v>
      </c>
      <c r="C1307" s="68">
        <v>18.27</v>
      </c>
    </row>
    <row r="1308" spans="1:3" x14ac:dyDescent="0.55000000000000004">
      <c r="A1308" s="68">
        <v>826</v>
      </c>
      <c r="C1308" s="68">
        <v>18.55</v>
      </c>
    </row>
    <row r="1309" spans="1:3" x14ac:dyDescent="0.55000000000000004">
      <c r="A1309" s="68">
        <v>826</v>
      </c>
      <c r="C1309" s="68">
        <v>19.09</v>
      </c>
    </row>
    <row r="1310" spans="1:3" x14ac:dyDescent="0.55000000000000004">
      <c r="A1310" s="68">
        <v>826</v>
      </c>
      <c r="C1310" s="68">
        <v>19.09</v>
      </c>
    </row>
    <row r="1311" spans="1:3" x14ac:dyDescent="0.55000000000000004">
      <c r="A1311" s="68">
        <v>826</v>
      </c>
      <c r="C1311" s="68">
        <v>19.260000000000002</v>
      </c>
    </row>
    <row r="1312" spans="1:3" x14ac:dyDescent="0.55000000000000004">
      <c r="A1312" s="68">
        <v>826</v>
      </c>
      <c r="C1312" s="68">
        <v>19.260000000000002</v>
      </c>
    </row>
    <row r="1313" spans="1:3" x14ac:dyDescent="0.55000000000000004">
      <c r="A1313" s="68">
        <v>826</v>
      </c>
      <c r="C1313" s="68">
        <v>19.59</v>
      </c>
    </row>
    <row r="1314" spans="1:3" x14ac:dyDescent="0.55000000000000004">
      <c r="A1314" s="68">
        <v>826</v>
      </c>
      <c r="C1314" s="68">
        <v>19.59</v>
      </c>
    </row>
    <row r="1315" spans="1:3" x14ac:dyDescent="0.55000000000000004">
      <c r="A1315" s="68">
        <v>826</v>
      </c>
      <c r="C1315" s="68">
        <v>20.079999999999998</v>
      </c>
    </row>
    <row r="1316" spans="1:3" x14ac:dyDescent="0.55000000000000004">
      <c r="A1316" s="68">
        <v>997</v>
      </c>
      <c r="C1316" s="68">
        <v>22.00404</v>
      </c>
    </row>
    <row r="1317" spans="1:3" x14ac:dyDescent="0.55000000000000004">
      <c r="A1317" s="68">
        <v>997</v>
      </c>
      <c r="C1317" s="68">
        <v>22.00404</v>
      </c>
    </row>
    <row r="1318" spans="1:3" x14ac:dyDescent="0.55000000000000004">
      <c r="A1318" s="68">
        <v>997</v>
      </c>
      <c r="C1318" s="68">
        <v>22.944040000000001</v>
      </c>
    </row>
    <row r="1319" spans="1:3" x14ac:dyDescent="0.55000000000000004">
      <c r="A1319" s="68">
        <v>997</v>
      </c>
      <c r="C1319" s="68">
        <v>24.354040000000001</v>
      </c>
    </row>
    <row r="1320" spans="1:3" x14ac:dyDescent="0.55000000000000004">
      <c r="A1320" s="68">
        <v>997</v>
      </c>
      <c r="C1320" s="68">
        <v>17.50404</v>
      </c>
    </row>
    <row r="1321" spans="1:3" x14ac:dyDescent="0.55000000000000004">
      <c r="A1321" s="68">
        <v>997</v>
      </c>
      <c r="C1321" s="68">
        <v>22.00404</v>
      </c>
    </row>
    <row r="1322" spans="1:3" x14ac:dyDescent="0.55000000000000004">
      <c r="A1322" s="68">
        <v>997</v>
      </c>
      <c r="C1322" s="68">
        <v>22.00404</v>
      </c>
    </row>
    <row r="1323" spans="1:3" x14ac:dyDescent="0.55000000000000004">
      <c r="A1323" s="68">
        <v>997</v>
      </c>
      <c r="C1323" s="68">
        <v>17.50404</v>
      </c>
    </row>
    <row r="1324" spans="1:3" x14ac:dyDescent="0.55000000000000004">
      <c r="A1324" s="68">
        <v>997</v>
      </c>
      <c r="C1324" s="68">
        <v>24.794039999999999</v>
      </c>
    </row>
    <row r="1325" spans="1:3" x14ac:dyDescent="0.55000000000000004">
      <c r="A1325" s="68">
        <v>997</v>
      </c>
      <c r="C1325" s="68">
        <v>22.00404</v>
      </c>
    </row>
    <row r="1326" spans="1:3" x14ac:dyDescent="0.55000000000000004">
      <c r="A1326" s="68">
        <v>997</v>
      </c>
      <c r="C1326" s="68">
        <v>23.674040000000002</v>
      </c>
    </row>
    <row r="1327" spans="1:3" x14ac:dyDescent="0.55000000000000004">
      <c r="A1327" s="68">
        <v>997</v>
      </c>
      <c r="C1327" s="68">
        <v>17.50404</v>
      </c>
    </row>
    <row r="1328" spans="1:3" x14ac:dyDescent="0.55000000000000004">
      <c r="A1328" s="68">
        <v>997</v>
      </c>
      <c r="C1328" s="68">
        <v>15.50404</v>
      </c>
    </row>
    <row r="1329" spans="1:3" x14ac:dyDescent="0.55000000000000004">
      <c r="A1329" s="68">
        <v>997</v>
      </c>
      <c r="C1329" s="68">
        <v>22.00404</v>
      </c>
    </row>
    <row r="1330" spans="1:3" x14ac:dyDescent="0.55000000000000004">
      <c r="A1330" s="68">
        <v>997</v>
      </c>
      <c r="C1330" s="68">
        <v>23.07404</v>
      </c>
    </row>
    <row r="1331" spans="1:3" x14ac:dyDescent="0.55000000000000004">
      <c r="A1331" s="68">
        <v>997</v>
      </c>
      <c r="C1331" s="68">
        <v>23.124040000000001</v>
      </c>
    </row>
    <row r="1332" spans="1:3" x14ac:dyDescent="0.55000000000000004">
      <c r="A1332" s="68">
        <v>997</v>
      </c>
      <c r="C1332" s="68">
        <v>20.00404</v>
      </c>
    </row>
    <row r="1333" spans="1:3" x14ac:dyDescent="0.55000000000000004">
      <c r="A1333" s="68">
        <v>658</v>
      </c>
      <c r="C1333" s="68">
        <v>17.54</v>
      </c>
    </row>
    <row r="1334" spans="1:3" x14ac:dyDescent="0.55000000000000004">
      <c r="A1334" s="68">
        <v>658</v>
      </c>
      <c r="C1334" s="68">
        <v>19.989999999999998</v>
      </c>
    </row>
    <row r="1335" spans="1:3" x14ac:dyDescent="0.55000000000000004">
      <c r="A1335" s="68">
        <v>658</v>
      </c>
      <c r="C1335" s="68">
        <v>17.489999999999998</v>
      </c>
    </row>
    <row r="1336" spans="1:3" x14ac:dyDescent="0.55000000000000004">
      <c r="A1336" s="68">
        <v>658</v>
      </c>
      <c r="C1336" s="68">
        <v>16.88</v>
      </c>
    </row>
    <row r="1337" spans="1:3" x14ac:dyDescent="0.55000000000000004">
      <c r="A1337" s="68">
        <v>658</v>
      </c>
      <c r="C1337" s="68">
        <v>16.8</v>
      </c>
    </row>
    <row r="1338" spans="1:3" x14ac:dyDescent="0.55000000000000004">
      <c r="A1338" s="68">
        <v>658</v>
      </c>
      <c r="C1338" s="68">
        <v>17.190000000000001</v>
      </c>
    </row>
    <row r="1339" spans="1:3" x14ac:dyDescent="0.55000000000000004">
      <c r="A1339" s="68">
        <v>658</v>
      </c>
      <c r="C1339" s="68">
        <v>16.68</v>
      </c>
    </row>
    <row r="1340" spans="1:3" x14ac:dyDescent="0.55000000000000004">
      <c r="A1340" s="68">
        <v>658</v>
      </c>
      <c r="C1340" s="68">
        <v>16.68</v>
      </c>
    </row>
    <row r="1341" spans="1:3" x14ac:dyDescent="0.55000000000000004">
      <c r="A1341" s="68">
        <v>658</v>
      </c>
      <c r="C1341" s="68">
        <v>16.88</v>
      </c>
    </row>
    <row r="1342" spans="1:3" x14ac:dyDescent="0.55000000000000004">
      <c r="A1342" s="68">
        <v>658</v>
      </c>
      <c r="C1342" s="68">
        <v>16.579999999999998</v>
      </c>
    </row>
    <row r="1343" spans="1:3" x14ac:dyDescent="0.55000000000000004">
      <c r="A1343" s="68">
        <v>658</v>
      </c>
      <c r="C1343" s="68">
        <v>16.579999999999998</v>
      </c>
    </row>
    <row r="1344" spans="1:3" x14ac:dyDescent="0.55000000000000004">
      <c r="A1344" s="68">
        <v>658</v>
      </c>
      <c r="C1344" s="68">
        <v>16.32</v>
      </c>
    </row>
    <row r="1345" spans="1:3" x14ac:dyDescent="0.55000000000000004">
      <c r="A1345" s="68">
        <v>658</v>
      </c>
      <c r="C1345" s="68">
        <v>16.32</v>
      </c>
    </row>
    <row r="1346" spans="1:3" x14ac:dyDescent="0.55000000000000004">
      <c r="A1346" s="68">
        <v>658</v>
      </c>
      <c r="C1346" s="68">
        <v>16</v>
      </c>
    </row>
    <row r="1347" spans="1:3" x14ac:dyDescent="0.55000000000000004">
      <c r="A1347" s="68">
        <v>658</v>
      </c>
      <c r="C1347" s="68">
        <v>17.170000000000002</v>
      </c>
    </row>
    <row r="1348" spans="1:3" x14ac:dyDescent="0.55000000000000004">
      <c r="A1348" s="68">
        <v>658</v>
      </c>
      <c r="C1348" s="68">
        <v>16</v>
      </c>
    </row>
    <row r="1349" spans="1:3" x14ac:dyDescent="0.55000000000000004">
      <c r="A1349" s="68">
        <v>563</v>
      </c>
      <c r="C1349" s="68">
        <v>21</v>
      </c>
    </row>
    <row r="1350" spans="1:3" x14ac:dyDescent="0.55000000000000004">
      <c r="A1350" s="68">
        <v>563</v>
      </c>
      <c r="C1350" s="68">
        <v>21</v>
      </c>
    </row>
    <row r="1351" spans="1:3" x14ac:dyDescent="0.55000000000000004">
      <c r="A1351" s="68">
        <v>563</v>
      </c>
      <c r="C1351" s="68">
        <v>23</v>
      </c>
    </row>
    <row r="1352" spans="1:3" x14ac:dyDescent="0.55000000000000004">
      <c r="A1352" s="68">
        <v>563</v>
      </c>
      <c r="C1352" s="68">
        <v>22</v>
      </c>
    </row>
    <row r="1353" spans="1:3" x14ac:dyDescent="0.55000000000000004">
      <c r="A1353" s="68">
        <v>563</v>
      </c>
      <c r="C1353" s="68">
        <v>21.5</v>
      </c>
    </row>
    <row r="1354" spans="1:3" x14ac:dyDescent="0.55000000000000004">
      <c r="A1354" s="68">
        <v>563</v>
      </c>
      <c r="C1354" s="68">
        <v>23</v>
      </c>
    </row>
    <row r="1355" spans="1:3" x14ac:dyDescent="0.55000000000000004">
      <c r="A1355" s="68">
        <v>563</v>
      </c>
      <c r="C1355" s="68">
        <v>22</v>
      </c>
    </row>
    <row r="1356" spans="1:3" x14ac:dyDescent="0.55000000000000004">
      <c r="A1356" s="68">
        <v>563</v>
      </c>
      <c r="C1356" s="68">
        <v>21</v>
      </c>
    </row>
    <row r="1357" spans="1:3" x14ac:dyDescent="0.55000000000000004">
      <c r="A1357" s="68">
        <v>563</v>
      </c>
      <c r="C1357" s="68">
        <v>20</v>
      </c>
    </row>
    <row r="1358" spans="1:3" x14ac:dyDescent="0.55000000000000004">
      <c r="A1358" s="68">
        <v>563</v>
      </c>
      <c r="C1358" s="68">
        <v>21</v>
      </c>
    </row>
    <row r="1359" spans="1:3" x14ac:dyDescent="0.55000000000000004">
      <c r="A1359" s="68">
        <v>563</v>
      </c>
      <c r="C1359" s="68">
        <v>22</v>
      </c>
    </row>
    <row r="1360" spans="1:3" x14ac:dyDescent="0.55000000000000004">
      <c r="A1360" s="68">
        <v>563</v>
      </c>
      <c r="C1360" s="68">
        <v>21</v>
      </c>
    </row>
    <row r="1361" spans="1:3" x14ac:dyDescent="0.55000000000000004">
      <c r="A1361" s="68">
        <v>563</v>
      </c>
      <c r="C1361" s="68">
        <v>21</v>
      </c>
    </row>
    <row r="1362" spans="1:3" x14ac:dyDescent="0.55000000000000004">
      <c r="A1362" s="68">
        <v>563</v>
      </c>
      <c r="C1362" s="68">
        <v>20</v>
      </c>
    </row>
    <row r="1363" spans="1:3" x14ac:dyDescent="0.55000000000000004">
      <c r="A1363" s="68">
        <v>563</v>
      </c>
      <c r="C1363" s="68">
        <v>22</v>
      </c>
    </row>
    <row r="1364" spans="1:3" x14ac:dyDescent="0.55000000000000004">
      <c r="A1364" s="68">
        <v>563</v>
      </c>
      <c r="C1364" s="68">
        <v>21</v>
      </c>
    </row>
    <row r="1365" spans="1:3" x14ac:dyDescent="0.55000000000000004">
      <c r="A1365" s="68">
        <v>563</v>
      </c>
      <c r="C1365" s="68">
        <v>21</v>
      </c>
    </row>
    <row r="1366" spans="1:3" x14ac:dyDescent="0.55000000000000004">
      <c r="A1366" s="68">
        <v>563</v>
      </c>
      <c r="C1366" s="68">
        <v>22</v>
      </c>
    </row>
    <row r="1367" spans="1:3" x14ac:dyDescent="0.55000000000000004">
      <c r="A1367" s="68">
        <v>563</v>
      </c>
      <c r="C1367" s="68">
        <v>22</v>
      </c>
    </row>
    <row r="1368" spans="1:3" x14ac:dyDescent="0.55000000000000004">
      <c r="A1368" s="68">
        <v>563</v>
      </c>
      <c r="C1368" s="68">
        <v>21</v>
      </c>
    </row>
    <row r="1369" spans="1:3" x14ac:dyDescent="0.55000000000000004">
      <c r="A1369" s="68">
        <v>563</v>
      </c>
      <c r="C1369" s="68">
        <v>21</v>
      </c>
    </row>
    <row r="1370" spans="1:3" x14ac:dyDescent="0.55000000000000004">
      <c r="A1370" s="68">
        <v>563</v>
      </c>
      <c r="C1370" s="68">
        <v>21</v>
      </c>
    </row>
    <row r="1371" spans="1:3" x14ac:dyDescent="0.55000000000000004">
      <c r="A1371" s="68">
        <v>563</v>
      </c>
      <c r="C1371" s="68">
        <v>20</v>
      </c>
    </row>
    <row r="1372" spans="1:3" x14ac:dyDescent="0.55000000000000004">
      <c r="A1372" s="68">
        <v>563</v>
      </c>
      <c r="C1372" s="68">
        <v>19</v>
      </c>
    </row>
    <row r="1373" spans="1:3" x14ac:dyDescent="0.55000000000000004">
      <c r="A1373" s="68">
        <v>563</v>
      </c>
      <c r="C1373" s="68">
        <v>21</v>
      </c>
    </row>
    <row r="1374" spans="1:3" x14ac:dyDescent="0.55000000000000004">
      <c r="A1374" s="68">
        <v>563</v>
      </c>
      <c r="C1374" s="68">
        <v>22</v>
      </c>
    </row>
    <row r="1375" spans="1:3" x14ac:dyDescent="0.55000000000000004">
      <c r="A1375" s="68">
        <v>563</v>
      </c>
      <c r="C1375" s="68">
        <v>21.5</v>
      </c>
    </row>
    <row r="1376" spans="1:3" x14ac:dyDescent="0.55000000000000004">
      <c r="A1376" s="68">
        <v>563</v>
      </c>
      <c r="C1376" s="68">
        <v>22</v>
      </c>
    </row>
    <row r="1377" spans="1:3" x14ac:dyDescent="0.55000000000000004">
      <c r="A1377" s="68">
        <v>563</v>
      </c>
      <c r="C1377" s="68">
        <v>20</v>
      </c>
    </row>
    <row r="1378" spans="1:3" x14ac:dyDescent="0.55000000000000004">
      <c r="A1378" s="68">
        <v>563</v>
      </c>
      <c r="C1378" s="68">
        <v>20</v>
      </c>
    </row>
    <row r="1379" spans="1:3" x14ac:dyDescent="0.55000000000000004">
      <c r="A1379" s="68">
        <v>563</v>
      </c>
      <c r="C1379" s="68">
        <v>22</v>
      </c>
    </row>
    <row r="1380" spans="1:3" x14ac:dyDescent="0.55000000000000004">
      <c r="A1380" s="68">
        <v>563</v>
      </c>
      <c r="C1380" s="68">
        <v>21</v>
      </c>
    </row>
    <row r="1381" spans="1:3" x14ac:dyDescent="0.55000000000000004">
      <c r="A1381" s="68">
        <v>563</v>
      </c>
      <c r="C1381" s="68">
        <v>21</v>
      </c>
    </row>
    <row r="1382" spans="1:3" x14ac:dyDescent="0.55000000000000004">
      <c r="A1382" s="68">
        <v>563</v>
      </c>
      <c r="C1382" s="68">
        <v>21</v>
      </c>
    </row>
    <row r="1383" spans="1:3" x14ac:dyDescent="0.55000000000000004">
      <c r="A1383" s="68">
        <v>563</v>
      </c>
      <c r="C1383" s="68">
        <v>21</v>
      </c>
    </row>
    <row r="1384" spans="1:3" x14ac:dyDescent="0.55000000000000004">
      <c r="A1384" s="68">
        <v>563</v>
      </c>
      <c r="C1384" s="68">
        <v>20.6</v>
      </c>
    </row>
    <row r="1385" spans="1:3" x14ac:dyDescent="0.55000000000000004">
      <c r="A1385" s="68">
        <v>563</v>
      </c>
      <c r="C1385" s="68">
        <v>21</v>
      </c>
    </row>
    <row r="1386" spans="1:3" x14ac:dyDescent="0.55000000000000004">
      <c r="A1386" s="68">
        <v>563</v>
      </c>
      <c r="C1386" s="68">
        <v>21</v>
      </c>
    </row>
    <row r="1387" spans="1:3" x14ac:dyDescent="0.55000000000000004">
      <c r="A1387" s="68">
        <v>563</v>
      </c>
      <c r="C1387" s="68">
        <v>20</v>
      </c>
    </row>
    <row r="1388" spans="1:3" x14ac:dyDescent="0.55000000000000004">
      <c r="A1388" s="68">
        <v>563</v>
      </c>
      <c r="C1388" s="68">
        <v>21</v>
      </c>
    </row>
    <row r="1389" spans="1:3" x14ac:dyDescent="0.55000000000000004">
      <c r="A1389" s="68">
        <v>563</v>
      </c>
      <c r="C1389" s="68">
        <v>21</v>
      </c>
    </row>
    <row r="1390" spans="1:3" x14ac:dyDescent="0.55000000000000004">
      <c r="A1390" s="68">
        <v>563</v>
      </c>
      <c r="C1390" s="68">
        <v>23.5</v>
      </c>
    </row>
    <row r="1391" spans="1:3" x14ac:dyDescent="0.55000000000000004">
      <c r="A1391" s="68">
        <v>563</v>
      </c>
      <c r="C1391" s="68">
        <v>21</v>
      </c>
    </row>
    <row r="1392" spans="1:3" x14ac:dyDescent="0.55000000000000004">
      <c r="A1392" s="68">
        <v>563</v>
      </c>
      <c r="C1392" s="68">
        <v>21</v>
      </c>
    </row>
    <row r="1393" spans="1:3" x14ac:dyDescent="0.55000000000000004">
      <c r="A1393" s="68">
        <v>563</v>
      </c>
      <c r="C1393" s="68">
        <v>21</v>
      </c>
    </row>
    <row r="1394" spans="1:3" x14ac:dyDescent="0.55000000000000004">
      <c r="A1394" s="68">
        <v>636</v>
      </c>
      <c r="C1394" s="68">
        <v>26.06</v>
      </c>
    </row>
    <row r="1395" spans="1:3" x14ac:dyDescent="0.55000000000000004">
      <c r="A1395" s="68">
        <v>636</v>
      </c>
      <c r="C1395" s="68">
        <v>25.36</v>
      </c>
    </row>
    <row r="1396" spans="1:3" x14ac:dyDescent="0.55000000000000004">
      <c r="A1396" s="68">
        <v>636</v>
      </c>
      <c r="C1396" s="68">
        <v>26.54</v>
      </c>
    </row>
    <row r="1397" spans="1:3" x14ac:dyDescent="0.55000000000000004">
      <c r="A1397" s="68">
        <v>636</v>
      </c>
      <c r="C1397" s="68">
        <v>23.68</v>
      </c>
    </row>
    <row r="1398" spans="1:3" x14ac:dyDescent="0.55000000000000004">
      <c r="A1398" s="68">
        <v>636</v>
      </c>
      <c r="C1398" s="68">
        <v>24.36</v>
      </c>
    </row>
    <row r="1399" spans="1:3" x14ac:dyDescent="0.55000000000000004">
      <c r="A1399" s="68">
        <v>636</v>
      </c>
      <c r="C1399" s="68">
        <v>26</v>
      </c>
    </row>
    <row r="1400" spans="1:3" x14ac:dyDescent="0.55000000000000004">
      <c r="A1400" s="68">
        <v>636</v>
      </c>
      <c r="C1400" s="68">
        <v>25.56</v>
      </c>
    </row>
    <row r="1401" spans="1:3" x14ac:dyDescent="0.55000000000000004">
      <c r="A1401" s="68">
        <v>636</v>
      </c>
      <c r="C1401" s="68">
        <v>23.68</v>
      </c>
    </row>
    <row r="1402" spans="1:3" x14ac:dyDescent="0.55000000000000004">
      <c r="A1402" s="68">
        <v>636</v>
      </c>
      <c r="C1402" s="68">
        <v>23.27</v>
      </c>
    </row>
    <row r="1403" spans="1:3" x14ac:dyDescent="0.55000000000000004">
      <c r="A1403" s="68">
        <v>636</v>
      </c>
      <c r="C1403" s="68">
        <v>25.36</v>
      </c>
    </row>
    <row r="1404" spans="1:3" x14ac:dyDescent="0.55000000000000004">
      <c r="A1404" s="68">
        <v>636</v>
      </c>
      <c r="C1404" s="68">
        <v>22.75</v>
      </c>
    </row>
    <row r="1405" spans="1:3" x14ac:dyDescent="0.55000000000000004">
      <c r="A1405" s="68">
        <v>636</v>
      </c>
      <c r="C1405" s="68">
        <v>22.51</v>
      </c>
    </row>
    <row r="1406" spans="1:3" x14ac:dyDescent="0.55000000000000004">
      <c r="A1406" s="68">
        <v>636</v>
      </c>
      <c r="C1406" s="68">
        <v>22.73</v>
      </c>
    </row>
    <row r="1407" spans="1:3" x14ac:dyDescent="0.55000000000000004">
      <c r="A1407" s="68">
        <v>636</v>
      </c>
      <c r="C1407" s="68">
        <v>22.51</v>
      </c>
    </row>
    <row r="1408" spans="1:3" x14ac:dyDescent="0.55000000000000004">
      <c r="A1408" s="68">
        <v>636</v>
      </c>
      <c r="C1408" s="68">
        <v>22.52</v>
      </c>
    </row>
    <row r="1409" spans="1:3" x14ac:dyDescent="0.55000000000000004">
      <c r="A1409" s="68">
        <v>636</v>
      </c>
      <c r="C1409" s="68">
        <v>22.52</v>
      </c>
    </row>
    <row r="1410" spans="1:3" x14ac:dyDescent="0.55000000000000004">
      <c r="A1410" s="68">
        <v>636</v>
      </c>
      <c r="C1410" s="68">
        <v>22.52</v>
      </c>
    </row>
    <row r="1411" spans="1:3" x14ac:dyDescent="0.55000000000000004">
      <c r="A1411" s="68">
        <v>636</v>
      </c>
      <c r="C1411" s="68">
        <v>24.13</v>
      </c>
    </row>
    <row r="1412" spans="1:3" x14ac:dyDescent="0.55000000000000004">
      <c r="A1412" s="68">
        <v>636</v>
      </c>
      <c r="C1412" s="68">
        <v>22.52</v>
      </c>
    </row>
    <row r="1413" spans="1:3" x14ac:dyDescent="0.55000000000000004">
      <c r="A1413" s="68">
        <v>636</v>
      </c>
      <c r="C1413" s="68">
        <v>22.52</v>
      </c>
    </row>
    <row r="1414" spans="1:3" x14ac:dyDescent="0.55000000000000004">
      <c r="A1414" s="68">
        <v>636</v>
      </c>
      <c r="C1414" s="68">
        <v>23.72</v>
      </c>
    </row>
    <row r="1415" spans="1:3" x14ac:dyDescent="0.55000000000000004">
      <c r="A1415" s="68">
        <v>636</v>
      </c>
      <c r="C1415" s="68">
        <v>22.38</v>
      </c>
    </row>
    <row r="1416" spans="1:3" x14ac:dyDescent="0.55000000000000004">
      <c r="A1416" s="68">
        <v>636</v>
      </c>
      <c r="C1416" s="68">
        <v>23.17</v>
      </c>
    </row>
    <row r="1417" spans="1:3" x14ac:dyDescent="0.55000000000000004">
      <c r="A1417" s="68">
        <v>636</v>
      </c>
      <c r="C1417" s="68">
        <v>26</v>
      </c>
    </row>
    <row r="1418" spans="1:3" x14ac:dyDescent="0.55000000000000004">
      <c r="A1418" s="68">
        <v>636</v>
      </c>
      <c r="C1418" s="68">
        <v>22.19</v>
      </c>
    </row>
    <row r="1419" spans="1:3" x14ac:dyDescent="0.55000000000000004">
      <c r="A1419" s="68">
        <v>636</v>
      </c>
      <c r="C1419" s="68">
        <v>22.19</v>
      </c>
    </row>
    <row r="1420" spans="1:3" x14ac:dyDescent="0.55000000000000004">
      <c r="A1420" s="68">
        <v>636</v>
      </c>
      <c r="C1420" s="68">
        <v>22.19</v>
      </c>
    </row>
    <row r="1421" spans="1:3" x14ac:dyDescent="0.55000000000000004">
      <c r="A1421" s="68">
        <v>776</v>
      </c>
      <c r="C1421" s="68">
        <v>24</v>
      </c>
    </row>
    <row r="1422" spans="1:3" x14ac:dyDescent="0.55000000000000004">
      <c r="A1422" s="68">
        <v>776</v>
      </c>
      <c r="C1422" s="68">
        <v>22</v>
      </c>
    </row>
    <row r="1423" spans="1:3" x14ac:dyDescent="0.55000000000000004">
      <c r="A1423" s="68">
        <v>776</v>
      </c>
      <c r="C1423" s="68">
        <v>21</v>
      </c>
    </row>
    <row r="1424" spans="1:3" x14ac:dyDescent="0.55000000000000004">
      <c r="A1424" s="68">
        <v>776</v>
      </c>
      <c r="C1424" s="68">
        <v>19</v>
      </c>
    </row>
    <row r="1425" spans="1:3" x14ac:dyDescent="0.55000000000000004">
      <c r="A1425" s="68">
        <v>776</v>
      </c>
      <c r="C1425" s="68">
        <v>21.25</v>
      </c>
    </row>
    <row r="1426" spans="1:3" x14ac:dyDescent="0.55000000000000004">
      <c r="A1426" s="68">
        <v>776</v>
      </c>
      <c r="C1426" s="68">
        <v>19</v>
      </c>
    </row>
    <row r="1427" spans="1:3" x14ac:dyDescent="0.55000000000000004">
      <c r="A1427" s="68">
        <v>776</v>
      </c>
      <c r="C1427" s="68">
        <v>23</v>
      </c>
    </row>
    <row r="1428" spans="1:3" x14ac:dyDescent="0.55000000000000004">
      <c r="A1428" s="68">
        <v>776</v>
      </c>
      <c r="C1428" s="68">
        <v>22</v>
      </c>
    </row>
    <row r="1429" spans="1:3" x14ac:dyDescent="0.55000000000000004">
      <c r="A1429" s="68">
        <v>776</v>
      </c>
      <c r="C1429" s="68">
        <v>22</v>
      </c>
    </row>
    <row r="1430" spans="1:3" x14ac:dyDescent="0.55000000000000004">
      <c r="A1430" s="68">
        <v>776</v>
      </c>
      <c r="C1430" s="68">
        <v>22</v>
      </c>
    </row>
    <row r="1431" spans="1:3" x14ac:dyDescent="0.55000000000000004">
      <c r="A1431" s="68">
        <v>776</v>
      </c>
      <c r="C1431" s="68">
        <v>23.5</v>
      </c>
    </row>
    <row r="1432" spans="1:3" x14ac:dyDescent="0.55000000000000004">
      <c r="A1432" s="68">
        <v>776</v>
      </c>
      <c r="C1432" s="68">
        <v>23</v>
      </c>
    </row>
    <row r="1433" spans="1:3" x14ac:dyDescent="0.55000000000000004">
      <c r="A1433" s="68">
        <v>776</v>
      </c>
      <c r="C1433" s="68">
        <v>25</v>
      </c>
    </row>
    <row r="1434" spans="1:3" x14ac:dyDescent="0.55000000000000004">
      <c r="A1434" s="68">
        <v>776</v>
      </c>
      <c r="C1434" s="68">
        <v>21</v>
      </c>
    </row>
    <row r="1435" spans="1:3" x14ac:dyDescent="0.55000000000000004">
      <c r="A1435" s="68">
        <v>776</v>
      </c>
      <c r="C1435" s="68">
        <v>24</v>
      </c>
    </row>
    <row r="1436" spans="1:3" x14ac:dyDescent="0.55000000000000004">
      <c r="A1436" s="68">
        <v>776</v>
      </c>
      <c r="C1436" s="68">
        <v>23</v>
      </c>
    </row>
    <row r="1437" spans="1:3" x14ac:dyDescent="0.55000000000000004">
      <c r="A1437" s="68">
        <v>776</v>
      </c>
      <c r="C1437" s="68">
        <v>22</v>
      </c>
    </row>
    <row r="1438" spans="1:3" x14ac:dyDescent="0.55000000000000004">
      <c r="A1438" s="68">
        <v>776</v>
      </c>
      <c r="C1438" s="68">
        <v>22</v>
      </c>
    </row>
    <row r="1439" spans="1:3" x14ac:dyDescent="0.55000000000000004">
      <c r="A1439" s="68">
        <v>776</v>
      </c>
      <c r="C1439" s="68">
        <v>23</v>
      </c>
    </row>
    <row r="1440" spans="1:3" x14ac:dyDescent="0.55000000000000004">
      <c r="A1440" s="68">
        <v>776</v>
      </c>
      <c r="C1440" s="68">
        <v>22</v>
      </c>
    </row>
    <row r="1441" spans="1:3" x14ac:dyDescent="0.55000000000000004">
      <c r="A1441" s="68">
        <v>776</v>
      </c>
      <c r="C1441" s="68">
        <v>24</v>
      </c>
    </row>
    <row r="1442" spans="1:3" x14ac:dyDescent="0.55000000000000004">
      <c r="A1442" s="68">
        <v>776</v>
      </c>
      <c r="C1442" s="68">
        <v>26</v>
      </c>
    </row>
    <row r="1443" spans="1:3" x14ac:dyDescent="0.55000000000000004">
      <c r="A1443" s="68">
        <v>776</v>
      </c>
      <c r="C1443" s="68">
        <v>22</v>
      </c>
    </row>
    <row r="1444" spans="1:3" x14ac:dyDescent="0.55000000000000004">
      <c r="A1444" s="68">
        <v>500</v>
      </c>
      <c r="C1444" s="68">
        <v>20</v>
      </c>
    </row>
    <row r="1445" spans="1:3" x14ac:dyDescent="0.55000000000000004">
      <c r="A1445" s="68">
        <v>500</v>
      </c>
      <c r="C1445" s="68">
        <v>21</v>
      </c>
    </row>
    <row r="1446" spans="1:3" x14ac:dyDescent="0.55000000000000004">
      <c r="A1446" s="68">
        <v>500</v>
      </c>
      <c r="C1446" s="68">
        <v>23.5</v>
      </c>
    </row>
    <row r="1447" spans="1:3" x14ac:dyDescent="0.55000000000000004">
      <c r="A1447" s="68">
        <v>500</v>
      </c>
      <c r="C1447" s="68">
        <v>22</v>
      </c>
    </row>
    <row r="1448" spans="1:3" x14ac:dyDescent="0.55000000000000004">
      <c r="A1448" s="68">
        <v>500</v>
      </c>
      <c r="C1448" s="68">
        <v>20.5</v>
      </c>
    </row>
    <row r="1449" spans="1:3" x14ac:dyDescent="0.55000000000000004">
      <c r="A1449" s="68">
        <v>500</v>
      </c>
      <c r="C1449" s="68">
        <v>21</v>
      </c>
    </row>
    <row r="1450" spans="1:3" x14ac:dyDescent="0.55000000000000004">
      <c r="A1450" s="68">
        <v>500</v>
      </c>
      <c r="C1450" s="68">
        <v>19.5</v>
      </c>
    </row>
    <row r="1451" spans="1:3" x14ac:dyDescent="0.55000000000000004">
      <c r="A1451" s="68">
        <v>500</v>
      </c>
      <c r="C1451" s="68">
        <v>19.5</v>
      </c>
    </row>
    <row r="1452" spans="1:3" x14ac:dyDescent="0.55000000000000004">
      <c r="A1452" s="68">
        <v>500</v>
      </c>
      <c r="C1452" s="68">
        <v>21</v>
      </c>
    </row>
    <row r="1453" spans="1:3" x14ac:dyDescent="0.55000000000000004">
      <c r="A1453" s="68">
        <v>500</v>
      </c>
      <c r="C1453" s="68">
        <v>24.81</v>
      </c>
    </row>
    <row r="1454" spans="1:3" x14ac:dyDescent="0.55000000000000004">
      <c r="A1454" s="68">
        <v>500</v>
      </c>
      <c r="C1454" s="68">
        <v>25.58</v>
      </c>
    </row>
    <row r="1455" spans="1:3" x14ac:dyDescent="0.55000000000000004">
      <c r="A1455" s="68">
        <v>500</v>
      </c>
      <c r="C1455" s="68">
        <v>19.75</v>
      </c>
    </row>
    <row r="1456" spans="1:3" x14ac:dyDescent="0.55000000000000004">
      <c r="A1456" s="68">
        <v>500</v>
      </c>
      <c r="C1456" s="68">
        <v>23</v>
      </c>
    </row>
    <row r="1457" spans="1:3" x14ac:dyDescent="0.55000000000000004">
      <c r="A1457" s="68">
        <v>500</v>
      </c>
      <c r="C1457" s="68">
        <v>22.25</v>
      </c>
    </row>
    <row r="1458" spans="1:3" x14ac:dyDescent="0.55000000000000004">
      <c r="A1458" s="68">
        <v>500</v>
      </c>
      <c r="C1458" s="68">
        <v>23</v>
      </c>
    </row>
    <row r="1459" spans="1:3" x14ac:dyDescent="0.55000000000000004">
      <c r="A1459" s="68">
        <v>500</v>
      </c>
      <c r="C1459" s="68">
        <v>21</v>
      </c>
    </row>
    <row r="1460" spans="1:3" x14ac:dyDescent="0.55000000000000004">
      <c r="A1460" s="68">
        <v>500</v>
      </c>
      <c r="C1460" s="68">
        <v>22</v>
      </c>
    </row>
    <row r="1461" spans="1:3" x14ac:dyDescent="0.55000000000000004">
      <c r="A1461" s="68">
        <v>500</v>
      </c>
      <c r="C1461" s="68">
        <v>21.38</v>
      </c>
    </row>
    <row r="1462" spans="1:3" x14ac:dyDescent="0.55000000000000004">
      <c r="A1462" s="68">
        <v>500</v>
      </c>
      <c r="C1462" s="68">
        <v>19.75</v>
      </c>
    </row>
    <row r="1463" spans="1:3" x14ac:dyDescent="0.55000000000000004">
      <c r="A1463" s="68">
        <v>500</v>
      </c>
      <c r="C1463" s="68">
        <v>23.5</v>
      </c>
    </row>
    <row r="1464" spans="1:3" x14ac:dyDescent="0.55000000000000004">
      <c r="A1464" s="68">
        <v>500</v>
      </c>
      <c r="C1464" s="68">
        <v>19.5</v>
      </c>
    </row>
    <row r="1465" spans="1:3" x14ac:dyDescent="0.55000000000000004">
      <c r="A1465" s="68">
        <v>500</v>
      </c>
      <c r="C1465" s="68">
        <v>20.5</v>
      </c>
    </row>
    <row r="1466" spans="1:3" x14ac:dyDescent="0.55000000000000004">
      <c r="A1466" s="68">
        <v>500</v>
      </c>
      <c r="C1466" s="68">
        <v>19.5</v>
      </c>
    </row>
    <row r="1467" spans="1:3" x14ac:dyDescent="0.55000000000000004">
      <c r="A1467" s="68">
        <v>500</v>
      </c>
      <c r="C1467" s="68">
        <v>25.05</v>
      </c>
    </row>
    <row r="1468" spans="1:3" x14ac:dyDescent="0.55000000000000004">
      <c r="A1468" s="68">
        <v>500</v>
      </c>
      <c r="C1468" s="68">
        <v>19.75</v>
      </c>
    </row>
    <row r="1469" spans="1:3" x14ac:dyDescent="0.55000000000000004">
      <c r="A1469" s="68">
        <v>500</v>
      </c>
      <c r="C1469" s="68">
        <v>20.25</v>
      </c>
    </row>
    <row r="1470" spans="1:3" x14ac:dyDescent="0.55000000000000004">
      <c r="A1470" s="68">
        <v>500</v>
      </c>
      <c r="C1470" s="68">
        <v>23</v>
      </c>
    </row>
    <row r="1471" spans="1:3" x14ac:dyDescent="0.55000000000000004">
      <c r="A1471" s="68">
        <v>500</v>
      </c>
      <c r="C1471" s="68">
        <v>22.75</v>
      </c>
    </row>
    <row r="1472" spans="1:3" x14ac:dyDescent="0.55000000000000004">
      <c r="A1472" s="68">
        <v>500</v>
      </c>
      <c r="C1472" s="68">
        <v>19.5</v>
      </c>
    </row>
    <row r="1473" spans="1:3" x14ac:dyDescent="0.55000000000000004">
      <c r="A1473" s="68">
        <v>500</v>
      </c>
      <c r="C1473" s="68">
        <v>19.5</v>
      </c>
    </row>
    <row r="1474" spans="1:3" x14ac:dyDescent="0.55000000000000004">
      <c r="A1474" s="68">
        <v>500</v>
      </c>
      <c r="C1474" s="68">
        <v>22</v>
      </c>
    </row>
    <row r="1475" spans="1:3" x14ac:dyDescent="0.55000000000000004">
      <c r="A1475" s="68">
        <v>500</v>
      </c>
      <c r="C1475" s="68">
        <v>20.25</v>
      </c>
    </row>
    <row r="1476" spans="1:3" x14ac:dyDescent="0.55000000000000004">
      <c r="A1476" s="68">
        <v>500</v>
      </c>
      <c r="C1476" s="68">
        <v>20.5</v>
      </c>
    </row>
    <row r="1477" spans="1:3" x14ac:dyDescent="0.55000000000000004">
      <c r="A1477" s="68">
        <v>500</v>
      </c>
      <c r="C1477" s="68">
        <v>25.05</v>
      </c>
    </row>
    <row r="1478" spans="1:3" x14ac:dyDescent="0.55000000000000004">
      <c r="A1478" s="68">
        <v>500</v>
      </c>
      <c r="C1478" s="68">
        <v>24.5</v>
      </c>
    </row>
    <row r="1479" spans="1:3" x14ac:dyDescent="0.55000000000000004">
      <c r="A1479" s="68">
        <v>500</v>
      </c>
      <c r="C1479" s="68">
        <v>19.5</v>
      </c>
    </row>
    <row r="1480" spans="1:3" x14ac:dyDescent="0.55000000000000004">
      <c r="A1480" s="68">
        <v>500</v>
      </c>
      <c r="C1480" s="68">
        <v>23</v>
      </c>
    </row>
    <row r="1481" spans="1:3" x14ac:dyDescent="0.55000000000000004">
      <c r="A1481" s="68">
        <v>500</v>
      </c>
      <c r="C1481" s="68">
        <v>23.5</v>
      </c>
    </row>
    <row r="1482" spans="1:3" x14ac:dyDescent="0.55000000000000004">
      <c r="A1482" s="68">
        <v>500</v>
      </c>
      <c r="C1482" s="68">
        <v>23</v>
      </c>
    </row>
    <row r="1483" spans="1:3" x14ac:dyDescent="0.55000000000000004">
      <c r="A1483" s="68">
        <v>500</v>
      </c>
      <c r="C1483" s="68">
        <v>21.28</v>
      </c>
    </row>
    <row r="1484" spans="1:3" x14ac:dyDescent="0.55000000000000004">
      <c r="A1484" s="68">
        <v>500</v>
      </c>
      <c r="C1484" s="68">
        <v>24.5</v>
      </c>
    </row>
    <row r="1485" spans="1:3" x14ac:dyDescent="0.55000000000000004">
      <c r="A1485" s="68">
        <v>500</v>
      </c>
      <c r="C1485" s="68">
        <v>24</v>
      </c>
    </row>
    <row r="1486" spans="1:3" x14ac:dyDescent="0.55000000000000004">
      <c r="A1486" s="68">
        <v>500</v>
      </c>
      <c r="C1486" s="68">
        <v>21.5</v>
      </c>
    </row>
    <row r="1487" spans="1:3" x14ac:dyDescent="0.55000000000000004">
      <c r="A1487" s="68">
        <v>500</v>
      </c>
      <c r="C1487" s="68">
        <v>19.5</v>
      </c>
    </row>
    <row r="1488" spans="1:3" x14ac:dyDescent="0.55000000000000004">
      <c r="A1488" s="68">
        <v>500</v>
      </c>
      <c r="C1488" s="68">
        <v>20</v>
      </c>
    </row>
    <row r="1489" spans="1:3" x14ac:dyDescent="0.55000000000000004">
      <c r="A1489" s="68">
        <v>500</v>
      </c>
      <c r="C1489" s="68">
        <v>23</v>
      </c>
    </row>
    <row r="1490" spans="1:3" x14ac:dyDescent="0.55000000000000004">
      <c r="A1490" s="68">
        <v>712</v>
      </c>
      <c r="C1490" s="68">
        <v>19.05</v>
      </c>
    </row>
    <row r="1491" spans="1:3" x14ac:dyDescent="0.55000000000000004">
      <c r="A1491" s="68">
        <v>712</v>
      </c>
      <c r="C1491" s="68">
        <v>20.010000000000002</v>
      </c>
    </row>
    <row r="1492" spans="1:3" x14ac:dyDescent="0.55000000000000004">
      <c r="A1492" s="68">
        <v>712</v>
      </c>
      <c r="C1492" s="68">
        <v>20.010000000000002</v>
      </c>
    </row>
    <row r="1493" spans="1:3" x14ac:dyDescent="0.55000000000000004">
      <c r="A1493" s="68">
        <v>712</v>
      </c>
      <c r="C1493" s="68">
        <v>20.76</v>
      </c>
    </row>
    <row r="1494" spans="1:3" x14ac:dyDescent="0.55000000000000004">
      <c r="A1494" s="68">
        <v>712</v>
      </c>
      <c r="C1494" s="68">
        <v>20.76</v>
      </c>
    </row>
    <row r="1495" spans="1:3" x14ac:dyDescent="0.55000000000000004">
      <c r="A1495" s="68">
        <v>712</v>
      </c>
      <c r="C1495" s="68">
        <v>21.52</v>
      </c>
    </row>
    <row r="1496" spans="1:3" x14ac:dyDescent="0.55000000000000004">
      <c r="A1496" s="68">
        <v>712</v>
      </c>
      <c r="C1496" s="68">
        <v>21.93</v>
      </c>
    </row>
    <row r="1497" spans="1:3" x14ac:dyDescent="0.55000000000000004">
      <c r="A1497" s="68">
        <v>712</v>
      </c>
      <c r="C1497" s="68">
        <v>22.46</v>
      </c>
    </row>
    <row r="1498" spans="1:3" x14ac:dyDescent="0.55000000000000004">
      <c r="A1498" s="68">
        <v>712</v>
      </c>
      <c r="C1498" s="68">
        <v>22.46</v>
      </c>
    </row>
    <row r="1499" spans="1:3" x14ac:dyDescent="0.55000000000000004">
      <c r="A1499" s="68">
        <v>712</v>
      </c>
      <c r="C1499" s="68">
        <v>22.46</v>
      </c>
    </row>
    <row r="1500" spans="1:3" x14ac:dyDescent="0.55000000000000004">
      <c r="A1500" s="68">
        <v>712</v>
      </c>
      <c r="C1500" s="68">
        <v>22.46</v>
      </c>
    </row>
    <row r="1501" spans="1:3" x14ac:dyDescent="0.55000000000000004">
      <c r="A1501" s="68">
        <v>712</v>
      </c>
      <c r="C1501" s="68">
        <v>22.46</v>
      </c>
    </row>
    <row r="1502" spans="1:3" x14ac:dyDescent="0.55000000000000004">
      <c r="A1502" s="68">
        <v>712</v>
      </c>
      <c r="C1502" s="68">
        <v>22.46</v>
      </c>
    </row>
    <row r="1503" spans="1:3" x14ac:dyDescent="0.55000000000000004">
      <c r="A1503" s="68">
        <v>712</v>
      </c>
      <c r="C1503" s="68">
        <v>22.46</v>
      </c>
    </row>
    <row r="1504" spans="1:3" x14ac:dyDescent="0.55000000000000004">
      <c r="A1504" s="68">
        <v>712</v>
      </c>
      <c r="C1504" s="68">
        <v>22.46</v>
      </c>
    </row>
    <row r="1505" spans="1:3" x14ac:dyDescent="0.55000000000000004">
      <c r="A1505" s="68">
        <v>712</v>
      </c>
      <c r="C1505" s="68">
        <v>22.46</v>
      </c>
    </row>
    <row r="1506" spans="1:3" x14ac:dyDescent="0.55000000000000004">
      <c r="A1506" s="68">
        <v>712</v>
      </c>
      <c r="C1506" s="68">
        <v>22.46</v>
      </c>
    </row>
    <row r="1507" spans="1:3" x14ac:dyDescent="0.55000000000000004">
      <c r="A1507" s="68">
        <v>712</v>
      </c>
      <c r="C1507" s="68">
        <v>22.46</v>
      </c>
    </row>
    <row r="1508" spans="1:3" x14ac:dyDescent="0.55000000000000004">
      <c r="A1508" s="68">
        <v>712</v>
      </c>
      <c r="C1508" s="68">
        <v>22.46</v>
      </c>
    </row>
    <row r="1509" spans="1:3" x14ac:dyDescent="0.55000000000000004">
      <c r="A1509" s="68">
        <v>712</v>
      </c>
      <c r="C1509" s="68">
        <v>22.46</v>
      </c>
    </row>
    <row r="1510" spans="1:3" x14ac:dyDescent="0.55000000000000004">
      <c r="A1510" s="68">
        <v>712</v>
      </c>
      <c r="C1510" s="68">
        <v>22.46</v>
      </c>
    </row>
    <row r="1511" spans="1:3" x14ac:dyDescent="0.55000000000000004">
      <c r="A1511" s="68">
        <v>712</v>
      </c>
      <c r="C1511" s="68">
        <v>22.46</v>
      </c>
    </row>
    <row r="1512" spans="1:3" x14ac:dyDescent="0.55000000000000004">
      <c r="A1512" s="68">
        <v>712</v>
      </c>
      <c r="C1512" s="68">
        <v>22.46</v>
      </c>
    </row>
    <row r="1513" spans="1:3" x14ac:dyDescent="0.55000000000000004">
      <c r="A1513" s="68">
        <v>712</v>
      </c>
      <c r="C1513" s="68">
        <v>22.46</v>
      </c>
    </row>
    <row r="1514" spans="1:3" x14ac:dyDescent="0.55000000000000004">
      <c r="A1514" s="68">
        <v>712</v>
      </c>
      <c r="C1514" s="68">
        <v>22.46</v>
      </c>
    </row>
    <row r="1515" spans="1:3" x14ac:dyDescent="0.55000000000000004">
      <c r="A1515" s="68">
        <v>712</v>
      </c>
      <c r="C1515" s="68">
        <v>22.46</v>
      </c>
    </row>
    <row r="1516" spans="1:3" x14ac:dyDescent="0.55000000000000004">
      <c r="A1516" s="68">
        <v>712</v>
      </c>
      <c r="C1516" s="68">
        <v>22.46</v>
      </c>
    </row>
    <row r="1517" spans="1:3" x14ac:dyDescent="0.55000000000000004">
      <c r="A1517" s="68">
        <v>712</v>
      </c>
      <c r="C1517" s="68">
        <v>22.46</v>
      </c>
    </row>
    <row r="1518" spans="1:3" x14ac:dyDescent="0.55000000000000004">
      <c r="A1518" s="68">
        <v>712</v>
      </c>
      <c r="C1518" s="68">
        <v>22.46</v>
      </c>
    </row>
    <row r="1519" spans="1:3" x14ac:dyDescent="0.55000000000000004">
      <c r="A1519" s="68">
        <v>712</v>
      </c>
      <c r="C1519" s="68">
        <v>22.46</v>
      </c>
    </row>
    <row r="1520" spans="1:3" x14ac:dyDescent="0.55000000000000004">
      <c r="A1520" s="68">
        <v>712</v>
      </c>
      <c r="C1520" s="68">
        <v>22.46</v>
      </c>
    </row>
    <row r="1521" spans="1:3" x14ac:dyDescent="0.55000000000000004">
      <c r="A1521" s="68">
        <v>712</v>
      </c>
      <c r="C1521" s="68">
        <v>22.46</v>
      </c>
    </row>
    <row r="1522" spans="1:3" x14ac:dyDescent="0.55000000000000004">
      <c r="A1522" s="68">
        <v>712</v>
      </c>
      <c r="C1522" s="68">
        <v>22.46</v>
      </c>
    </row>
    <row r="1523" spans="1:3" x14ac:dyDescent="0.55000000000000004">
      <c r="A1523" s="68">
        <v>712</v>
      </c>
      <c r="C1523" s="68">
        <v>22.46</v>
      </c>
    </row>
    <row r="1524" spans="1:3" x14ac:dyDescent="0.55000000000000004">
      <c r="A1524" s="68">
        <v>712</v>
      </c>
      <c r="C1524" s="68">
        <v>22.51</v>
      </c>
    </row>
    <row r="1525" spans="1:3" x14ac:dyDescent="0.55000000000000004">
      <c r="A1525" s="68">
        <v>712</v>
      </c>
      <c r="C1525" s="68">
        <v>26</v>
      </c>
    </row>
    <row r="1526" spans="1:3" x14ac:dyDescent="0.55000000000000004">
      <c r="A1526" s="68">
        <v>712</v>
      </c>
      <c r="C1526" s="68">
        <v>26</v>
      </c>
    </row>
    <row r="1527" spans="1:3" x14ac:dyDescent="0.55000000000000004">
      <c r="A1527" s="68">
        <v>712</v>
      </c>
      <c r="C1527" s="68">
        <v>26</v>
      </c>
    </row>
    <row r="1528" spans="1:3" x14ac:dyDescent="0.55000000000000004">
      <c r="A1528" s="68">
        <v>712</v>
      </c>
      <c r="C1528" s="68">
        <v>26</v>
      </c>
    </row>
    <row r="1529" spans="1:3" x14ac:dyDescent="0.55000000000000004">
      <c r="A1529" s="68">
        <v>712</v>
      </c>
      <c r="C1529" s="68">
        <v>26</v>
      </c>
    </row>
    <row r="1530" spans="1:3" x14ac:dyDescent="0.55000000000000004">
      <c r="A1530" s="68">
        <v>712</v>
      </c>
      <c r="C1530" s="68">
        <v>26</v>
      </c>
    </row>
    <row r="1531" spans="1:3" x14ac:dyDescent="0.55000000000000004">
      <c r="A1531" s="68">
        <v>962</v>
      </c>
      <c r="C1531" s="68">
        <v>19.3</v>
      </c>
    </row>
    <row r="1532" spans="1:3" x14ac:dyDescent="0.55000000000000004">
      <c r="A1532" s="68">
        <v>962</v>
      </c>
      <c r="C1532" s="68">
        <v>18.89</v>
      </c>
    </row>
    <row r="1533" spans="1:3" x14ac:dyDescent="0.55000000000000004">
      <c r="A1533" s="68">
        <v>962</v>
      </c>
      <c r="C1533" s="68">
        <v>16.010000000000002</v>
      </c>
    </row>
    <row r="1534" spans="1:3" x14ac:dyDescent="0.55000000000000004">
      <c r="A1534" s="68">
        <v>962</v>
      </c>
      <c r="C1534" s="68">
        <v>20.9</v>
      </c>
    </row>
    <row r="1535" spans="1:3" x14ac:dyDescent="0.55000000000000004">
      <c r="A1535" s="68">
        <v>962</v>
      </c>
      <c r="C1535" s="68">
        <v>21.31</v>
      </c>
    </row>
    <row r="1536" spans="1:3" x14ac:dyDescent="0.55000000000000004">
      <c r="A1536" s="68">
        <v>962</v>
      </c>
      <c r="C1536" s="68">
        <v>18.09</v>
      </c>
    </row>
    <row r="1537" spans="1:3" x14ac:dyDescent="0.55000000000000004">
      <c r="A1537" s="68">
        <v>962</v>
      </c>
      <c r="C1537" s="68">
        <v>20.9</v>
      </c>
    </row>
    <row r="1538" spans="1:3" x14ac:dyDescent="0.55000000000000004">
      <c r="A1538" s="68">
        <v>962</v>
      </c>
      <c r="C1538" s="68">
        <v>22.11</v>
      </c>
    </row>
    <row r="1539" spans="1:3" x14ac:dyDescent="0.55000000000000004">
      <c r="A1539" s="68">
        <v>962</v>
      </c>
      <c r="C1539" s="68">
        <v>21.31</v>
      </c>
    </row>
    <row r="1540" spans="1:3" x14ac:dyDescent="0.55000000000000004">
      <c r="A1540" s="68">
        <v>962</v>
      </c>
      <c r="C1540" s="68">
        <v>18.89</v>
      </c>
    </row>
    <row r="1541" spans="1:3" x14ac:dyDescent="0.55000000000000004">
      <c r="A1541" s="68">
        <v>962</v>
      </c>
      <c r="C1541" s="68">
        <v>18.89</v>
      </c>
    </row>
    <row r="1542" spans="1:3" x14ac:dyDescent="0.55000000000000004">
      <c r="A1542" s="68">
        <v>962</v>
      </c>
      <c r="C1542" s="68">
        <v>18.010000000000002</v>
      </c>
    </row>
    <row r="1543" spans="1:3" x14ac:dyDescent="0.55000000000000004">
      <c r="A1543" s="68">
        <v>962</v>
      </c>
      <c r="C1543" s="68">
        <v>18.89</v>
      </c>
    </row>
    <row r="1544" spans="1:3" x14ac:dyDescent="0.55000000000000004">
      <c r="A1544" s="68">
        <v>962</v>
      </c>
      <c r="C1544" s="68">
        <v>20.9</v>
      </c>
    </row>
    <row r="1545" spans="1:3" x14ac:dyDescent="0.55000000000000004">
      <c r="A1545" s="68">
        <v>962</v>
      </c>
      <c r="C1545" s="68">
        <v>16.079999999999998</v>
      </c>
    </row>
    <row r="1546" spans="1:3" x14ac:dyDescent="0.55000000000000004">
      <c r="A1546" s="68">
        <v>962</v>
      </c>
      <c r="C1546" s="68">
        <v>20.7</v>
      </c>
    </row>
    <row r="1547" spans="1:3" x14ac:dyDescent="0.55000000000000004">
      <c r="A1547" s="68">
        <v>962</v>
      </c>
      <c r="C1547" s="68">
        <v>16.079999999999998</v>
      </c>
    </row>
    <row r="1548" spans="1:3" x14ac:dyDescent="0.55000000000000004">
      <c r="A1548" s="68">
        <v>962</v>
      </c>
      <c r="C1548" s="68">
        <v>16.079999999999998</v>
      </c>
    </row>
    <row r="1549" spans="1:3" x14ac:dyDescent="0.55000000000000004">
      <c r="A1549" s="68">
        <v>420</v>
      </c>
      <c r="C1549" s="68">
        <v>18.05</v>
      </c>
    </row>
    <row r="1550" spans="1:3" x14ac:dyDescent="0.55000000000000004">
      <c r="A1550" s="68">
        <v>420</v>
      </c>
      <c r="C1550" s="68">
        <v>15</v>
      </c>
    </row>
    <row r="1551" spans="1:3" x14ac:dyDescent="0.55000000000000004">
      <c r="A1551" s="68">
        <v>420</v>
      </c>
      <c r="C1551" s="68">
        <v>16.5</v>
      </c>
    </row>
    <row r="1552" spans="1:3" x14ac:dyDescent="0.55000000000000004">
      <c r="A1552" s="68">
        <v>420</v>
      </c>
      <c r="C1552" s="68">
        <v>17</v>
      </c>
    </row>
    <row r="1553" spans="1:3" x14ac:dyDescent="0.55000000000000004">
      <c r="A1553" s="68">
        <v>420</v>
      </c>
      <c r="C1553" s="68">
        <v>15</v>
      </c>
    </row>
    <row r="1554" spans="1:3" x14ac:dyDescent="0.55000000000000004">
      <c r="A1554" s="68">
        <v>420</v>
      </c>
      <c r="C1554" s="68">
        <v>18.079999999999998</v>
      </c>
    </row>
    <row r="1555" spans="1:3" x14ac:dyDescent="0.55000000000000004">
      <c r="A1555" s="68">
        <v>420</v>
      </c>
      <c r="C1555" s="68">
        <v>16.5</v>
      </c>
    </row>
    <row r="1556" spans="1:3" x14ac:dyDescent="0.55000000000000004">
      <c r="A1556" s="68">
        <v>420</v>
      </c>
      <c r="C1556" s="68">
        <v>16.5</v>
      </c>
    </row>
    <row r="1557" spans="1:3" x14ac:dyDescent="0.55000000000000004">
      <c r="A1557" s="68">
        <v>420</v>
      </c>
      <c r="C1557" s="68">
        <v>17</v>
      </c>
    </row>
    <row r="1558" spans="1:3" x14ac:dyDescent="0.55000000000000004">
      <c r="A1558" s="68">
        <v>420</v>
      </c>
      <c r="C1558" s="68">
        <v>19.5</v>
      </c>
    </row>
    <row r="1559" spans="1:3" x14ac:dyDescent="0.55000000000000004">
      <c r="A1559" s="68">
        <v>420</v>
      </c>
      <c r="C1559" s="68">
        <v>17</v>
      </c>
    </row>
    <row r="1560" spans="1:3" x14ac:dyDescent="0.55000000000000004">
      <c r="A1560" s="68">
        <v>420</v>
      </c>
      <c r="C1560" s="68">
        <v>19</v>
      </c>
    </row>
    <row r="1561" spans="1:3" x14ac:dyDescent="0.55000000000000004">
      <c r="A1561" s="68">
        <v>420</v>
      </c>
      <c r="C1561" s="68">
        <v>17</v>
      </c>
    </row>
    <row r="1562" spans="1:3" x14ac:dyDescent="0.55000000000000004">
      <c r="A1562" s="68">
        <v>420</v>
      </c>
      <c r="C1562" s="68">
        <v>30</v>
      </c>
    </row>
    <row r="1563" spans="1:3" x14ac:dyDescent="0.55000000000000004">
      <c r="A1563" s="68">
        <v>420</v>
      </c>
      <c r="C1563" s="68">
        <v>16</v>
      </c>
    </row>
    <row r="1564" spans="1:3" x14ac:dyDescent="0.55000000000000004">
      <c r="A1564" s="68">
        <v>420</v>
      </c>
      <c r="C1564" s="68">
        <v>15</v>
      </c>
    </row>
    <row r="1565" spans="1:3" x14ac:dyDescent="0.55000000000000004">
      <c r="A1565" s="68">
        <v>420</v>
      </c>
      <c r="C1565" s="68">
        <v>15</v>
      </c>
    </row>
    <row r="1566" spans="1:3" x14ac:dyDescent="0.55000000000000004">
      <c r="A1566" s="68">
        <v>420</v>
      </c>
      <c r="C1566" s="68">
        <v>18</v>
      </c>
    </row>
    <row r="1567" spans="1:3" x14ac:dyDescent="0.55000000000000004">
      <c r="A1567" s="68">
        <v>506</v>
      </c>
      <c r="C1567" s="68">
        <v>21.21</v>
      </c>
    </row>
    <row r="1568" spans="1:3" x14ac:dyDescent="0.55000000000000004">
      <c r="A1568" s="68">
        <v>506</v>
      </c>
      <c r="C1568" s="68">
        <v>22.26</v>
      </c>
    </row>
    <row r="1569" spans="1:3" x14ac:dyDescent="0.55000000000000004">
      <c r="A1569" s="68">
        <v>506</v>
      </c>
      <c r="C1569" s="68">
        <v>19.899999999999999</v>
      </c>
    </row>
    <row r="1570" spans="1:3" x14ac:dyDescent="0.55000000000000004">
      <c r="A1570" s="68">
        <v>506</v>
      </c>
      <c r="C1570" s="68">
        <v>22.26</v>
      </c>
    </row>
    <row r="1571" spans="1:3" x14ac:dyDescent="0.55000000000000004">
      <c r="A1571" s="68">
        <v>506</v>
      </c>
      <c r="C1571" s="68">
        <v>23.83</v>
      </c>
    </row>
    <row r="1572" spans="1:3" x14ac:dyDescent="0.55000000000000004">
      <c r="A1572" s="68">
        <v>506</v>
      </c>
      <c r="C1572" s="68">
        <v>23.83</v>
      </c>
    </row>
    <row r="1573" spans="1:3" x14ac:dyDescent="0.55000000000000004">
      <c r="A1573" s="68">
        <v>506</v>
      </c>
      <c r="C1573" s="68">
        <v>20.16</v>
      </c>
    </row>
    <row r="1574" spans="1:3" x14ac:dyDescent="0.55000000000000004">
      <c r="A1574" s="68">
        <v>506</v>
      </c>
      <c r="C1574" s="68">
        <v>19.899999999999999</v>
      </c>
    </row>
    <row r="1575" spans="1:3" x14ac:dyDescent="0.55000000000000004">
      <c r="A1575" s="68">
        <v>506</v>
      </c>
      <c r="C1575" s="68">
        <v>22.26</v>
      </c>
    </row>
    <row r="1576" spans="1:3" x14ac:dyDescent="0.55000000000000004">
      <c r="A1576" s="68">
        <v>506</v>
      </c>
      <c r="C1576" s="68">
        <v>19.899999999999999</v>
      </c>
    </row>
    <row r="1577" spans="1:3" x14ac:dyDescent="0.55000000000000004">
      <c r="A1577" s="68">
        <v>506</v>
      </c>
      <c r="C1577" s="68">
        <v>19.899999999999999</v>
      </c>
    </row>
    <row r="1578" spans="1:3" x14ac:dyDescent="0.55000000000000004">
      <c r="A1578" s="68">
        <v>506</v>
      </c>
      <c r="C1578" s="68">
        <v>23.83</v>
      </c>
    </row>
    <row r="1579" spans="1:3" x14ac:dyDescent="0.55000000000000004">
      <c r="A1579" s="68">
        <v>506</v>
      </c>
      <c r="C1579" s="68">
        <v>20.16</v>
      </c>
    </row>
    <row r="1580" spans="1:3" x14ac:dyDescent="0.55000000000000004">
      <c r="A1580" s="68">
        <v>506</v>
      </c>
      <c r="C1580" s="68">
        <v>21.74</v>
      </c>
    </row>
    <row r="1581" spans="1:3" x14ac:dyDescent="0.55000000000000004">
      <c r="A1581" s="68">
        <v>506</v>
      </c>
      <c r="C1581" s="68">
        <v>19.899999999999999</v>
      </c>
    </row>
    <row r="1582" spans="1:3" x14ac:dyDescent="0.55000000000000004">
      <c r="A1582" s="68">
        <v>506</v>
      </c>
      <c r="C1582" s="68">
        <v>23.83</v>
      </c>
    </row>
    <row r="1583" spans="1:3" x14ac:dyDescent="0.55000000000000004">
      <c r="A1583" s="68">
        <v>506</v>
      </c>
      <c r="C1583" s="68">
        <v>23.83</v>
      </c>
    </row>
    <row r="1584" spans="1:3" x14ac:dyDescent="0.55000000000000004">
      <c r="A1584" s="68">
        <v>506</v>
      </c>
      <c r="C1584" s="68">
        <v>19.899999999999999</v>
      </c>
    </row>
    <row r="1585" spans="1:3" x14ac:dyDescent="0.55000000000000004">
      <c r="A1585" s="68">
        <v>506</v>
      </c>
      <c r="C1585" s="68">
        <v>23.83</v>
      </c>
    </row>
    <row r="1586" spans="1:3" x14ac:dyDescent="0.55000000000000004">
      <c r="A1586" s="68">
        <v>506</v>
      </c>
      <c r="C1586" s="68">
        <v>19.899999999999999</v>
      </c>
    </row>
    <row r="1587" spans="1:3" x14ac:dyDescent="0.55000000000000004">
      <c r="A1587" s="68">
        <v>506</v>
      </c>
      <c r="C1587" s="68">
        <v>22.78</v>
      </c>
    </row>
    <row r="1588" spans="1:3" x14ac:dyDescent="0.55000000000000004">
      <c r="A1588" s="68">
        <v>506</v>
      </c>
      <c r="C1588" s="68">
        <v>20.16</v>
      </c>
    </row>
    <row r="1589" spans="1:3" x14ac:dyDescent="0.55000000000000004">
      <c r="A1589" s="68">
        <v>506</v>
      </c>
      <c r="C1589" s="68">
        <v>23.83</v>
      </c>
    </row>
    <row r="1590" spans="1:3" x14ac:dyDescent="0.55000000000000004">
      <c r="A1590" s="68">
        <v>506</v>
      </c>
      <c r="C1590" s="68">
        <v>23.83</v>
      </c>
    </row>
    <row r="1591" spans="1:3" x14ac:dyDescent="0.55000000000000004">
      <c r="A1591" s="68">
        <v>506</v>
      </c>
      <c r="C1591" s="68">
        <v>23.83</v>
      </c>
    </row>
    <row r="1592" spans="1:3" x14ac:dyDescent="0.55000000000000004">
      <c r="A1592" s="68">
        <v>506</v>
      </c>
      <c r="C1592" s="68">
        <v>20.69</v>
      </c>
    </row>
    <row r="1593" spans="1:3" x14ac:dyDescent="0.55000000000000004">
      <c r="A1593" s="68">
        <v>506</v>
      </c>
      <c r="C1593" s="68">
        <v>22.78</v>
      </c>
    </row>
    <row r="1594" spans="1:3" x14ac:dyDescent="0.55000000000000004">
      <c r="A1594" s="68">
        <v>506</v>
      </c>
      <c r="C1594" s="68">
        <v>20.16</v>
      </c>
    </row>
    <row r="1595" spans="1:3" x14ac:dyDescent="0.55000000000000004">
      <c r="A1595" s="68">
        <v>506</v>
      </c>
      <c r="C1595" s="68">
        <v>19.899999999999999</v>
      </c>
    </row>
    <row r="1596" spans="1:3" x14ac:dyDescent="0.55000000000000004">
      <c r="A1596" s="68">
        <v>506</v>
      </c>
      <c r="C1596" s="68">
        <v>19.899999999999999</v>
      </c>
    </row>
    <row r="1597" spans="1:3" x14ac:dyDescent="0.55000000000000004">
      <c r="A1597" s="68">
        <v>506</v>
      </c>
      <c r="C1597" s="68">
        <v>23.83</v>
      </c>
    </row>
    <row r="1598" spans="1:3" x14ac:dyDescent="0.55000000000000004">
      <c r="A1598" s="68">
        <v>506</v>
      </c>
      <c r="C1598" s="68">
        <v>23.83</v>
      </c>
    </row>
    <row r="1599" spans="1:3" x14ac:dyDescent="0.55000000000000004">
      <c r="A1599" s="68">
        <v>506</v>
      </c>
      <c r="C1599" s="68">
        <v>20.43</v>
      </c>
    </row>
    <row r="1600" spans="1:3" x14ac:dyDescent="0.55000000000000004">
      <c r="A1600" s="68">
        <v>506</v>
      </c>
      <c r="C1600" s="68">
        <v>23.31</v>
      </c>
    </row>
    <row r="1601" spans="1:3" x14ac:dyDescent="0.55000000000000004">
      <c r="A1601" s="68">
        <v>506</v>
      </c>
      <c r="C1601" s="68">
        <v>22.26</v>
      </c>
    </row>
    <row r="1602" spans="1:3" x14ac:dyDescent="0.55000000000000004">
      <c r="A1602" s="68">
        <v>506</v>
      </c>
      <c r="C1602" s="68">
        <v>19.899999999999999</v>
      </c>
    </row>
    <row r="1603" spans="1:3" x14ac:dyDescent="0.55000000000000004">
      <c r="A1603" s="68">
        <v>506</v>
      </c>
      <c r="C1603" s="68">
        <v>19.899999999999999</v>
      </c>
    </row>
    <row r="1604" spans="1:3" x14ac:dyDescent="0.55000000000000004">
      <c r="A1604" s="68">
        <v>506</v>
      </c>
      <c r="C1604" s="68">
        <v>23.83</v>
      </c>
    </row>
    <row r="1605" spans="1:3" x14ac:dyDescent="0.55000000000000004">
      <c r="A1605" s="68">
        <v>506</v>
      </c>
      <c r="C1605" s="68">
        <v>23.83</v>
      </c>
    </row>
    <row r="1606" spans="1:3" x14ac:dyDescent="0.55000000000000004">
      <c r="A1606" s="68">
        <v>506</v>
      </c>
      <c r="C1606" s="68">
        <v>23.31</v>
      </c>
    </row>
    <row r="1607" spans="1:3" x14ac:dyDescent="0.55000000000000004">
      <c r="A1607" s="68">
        <v>506</v>
      </c>
      <c r="C1607" s="68">
        <v>20.69</v>
      </c>
    </row>
    <row r="1608" spans="1:3" x14ac:dyDescent="0.55000000000000004">
      <c r="A1608" s="68">
        <v>506</v>
      </c>
      <c r="C1608" s="68">
        <v>19.899999999999999</v>
      </c>
    </row>
    <row r="1609" spans="1:3" x14ac:dyDescent="0.55000000000000004">
      <c r="A1609" s="68">
        <v>506</v>
      </c>
      <c r="C1609" s="68">
        <v>20.16</v>
      </c>
    </row>
    <row r="1610" spans="1:3" x14ac:dyDescent="0.55000000000000004">
      <c r="A1610" s="68">
        <v>506</v>
      </c>
      <c r="C1610" s="68">
        <v>19.899999999999999</v>
      </c>
    </row>
    <row r="1611" spans="1:3" x14ac:dyDescent="0.55000000000000004">
      <c r="A1611" s="68">
        <v>506</v>
      </c>
      <c r="C1611" s="68">
        <v>19.899999999999999</v>
      </c>
    </row>
    <row r="1612" spans="1:3" x14ac:dyDescent="0.55000000000000004">
      <c r="A1612" s="68">
        <v>506</v>
      </c>
      <c r="C1612" s="68">
        <v>19.899999999999999</v>
      </c>
    </row>
    <row r="1613" spans="1:3" x14ac:dyDescent="0.55000000000000004">
      <c r="A1613" s="68">
        <v>506</v>
      </c>
      <c r="C1613" s="68">
        <v>19.899999999999999</v>
      </c>
    </row>
    <row r="1614" spans="1:3" x14ac:dyDescent="0.55000000000000004">
      <c r="A1614" s="68">
        <v>506</v>
      </c>
      <c r="C1614" s="68">
        <v>19.899999999999999</v>
      </c>
    </row>
    <row r="1615" spans="1:3" x14ac:dyDescent="0.55000000000000004">
      <c r="A1615" s="68">
        <v>506</v>
      </c>
      <c r="C1615" s="68">
        <v>20.16</v>
      </c>
    </row>
    <row r="1616" spans="1:3" x14ac:dyDescent="0.55000000000000004">
      <c r="A1616" s="68">
        <v>506</v>
      </c>
      <c r="C1616" s="68">
        <v>20.16</v>
      </c>
    </row>
    <row r="1617" spans="1:3" x14ac:dyDescent="0.55000000000000004">
      <c r="A1617" s="68">
        <v>506</v>
      </c>
      <c r="C1617" s="68">
        <v>20.16</v>
      </c>
    </row>
    <row r="1618" spans="1:3" x14ac:dyDescent="0.55000000000000004">
      <c r="A1618" s="68">
        <v>506</v>
      </c>
      <c r="C1618" s="68">
        <v>21.74</v>
      </c>
    </row>
    <row r="1619" spans="1:3" x14ac:dyDescent="0.55000000000000004">
      <c r="A1619" s="68">
        <v>506</v>
      </c>
      <c r="C1619" s="68">
        <v>20.16</v>
      </c>
    </row>
    <row r="1620" spans="1:3" x14ac:dyDescent="0.55000000000000004">
      <c r="A1620" s="68">
        <v>506</v>
      </c>
      <c r="C1620" s="68">
        <v>23.83</v>
      </c>
    </row>
    <row r="1621" spans="1:3" x14ac:dyDescent="0.55000000000000004">
      <c r="A1621" s="68">
        <v>506</v>
      </c>
      <c r="C1621" s="68">
        <v>19.899999999999999</v>
      </c>
    </row>
    <row r="1622" spans="1:3" x14ac:dyDescent="0.55000000000000004">
      <c r="A1622" s="68">
        <v>506</v>
      </c>
      <c r="C1622" s="68">
        <v>20.95</v>
      </c>
    </row>
    <row r="1623" spans="1:3" x14ac:dyDescent="0.55000000000000004">
      <c r="A1623" s="68">
        <v>506</v>
      </c>
      <c r="C1623" s="68">
        <v>20.43</v>
      </c>
    </row>
    <row r="1624" spans="1:3" x14ac:dyDescent="0.55000000000000004">
      <c r="A1624" s="68">
        <v>506</v>
      </c>
      <c r="C1624" s="68">
        <v>20.16</v>
      </c>
    </row>
    <row r="1625" spans="1:3" x14ac:dyDescent="0.55000000000000004">
      <c r="A1625" s="68">
        <v>506</v>
      </c>
      <c r="C1625" s="68">
        <v>19.899999999999999</v>
      </c>
    </row>
    <row r="1626" spans="1:3" x14ac:dyDescent="0.55000000000000004">
      <c r="A1626" s="68">
        <v>506</v>
      </c>
      <c r="C1626" s="68">
        <v>19.899999999999999</v>
      </c>
    </row>
    <row r="1627" spans="1:3" x14ac:dyDescent="0.55000000000000004">
      <c r="A1627" s="68">
        <v>506</v>
      </c>
      <c r="C1627" s="68">
        <v>19.899999999999999</v>
      </c>
    </row>
    <row r="1628" spans="1:3" x14ac:dyDescent="0.55000000000000004">
      <c r="A1628" s="68">
        <v>506</v>
      </c>
      <c r="C1628" s="68">
        <v>23.83</v>
      </c>
    </row>
    <row r="1629" spans="1:3" x14ac:dyDescent="0.55000000000000004">
      <c r="A1629" s="68">
        <v>506</v>
      </c>
      <c r="C1629" s="68">
        <v>23.83</v>
      </c>
    </row>
    <row r="1630" spans="1:3" x14ac:dyDescent="0.55000000000000004">
      <c r="A1630" s="68">
        <v>506</v>
      </c>
      <c r="C1630" s="68">
        <v>19.899999999999999</v>
      </c>
    </row>
    <row r="1631" spans="1:3" x14ac:dyDescent="0.55000000000000004">
      <c r="A1631" s="68">
        <v>506</v>
      </c>
      <c r="C1631" s="68">
        <v>23.83</v>
      </c>
    </row>
    <row r="1632" spans="1:3" x14ac:dyDescent="0.55000000000000004">
      <c r="A1632" s="68">
        <v>506</v>
      </c>
      <c r="C1632" s="68">
        <v>23.83</v>
      </c>
    </row>
    <row r="1633" spans="1:3" x14ac:dyDescent="0.55000000000000004">
      <c r="A1633" s="68">
        <v>506</v>
      </c>
      <c r="C1633" s="68">
        <v>23.83</v>
      </c>
    </row>
    <row r="1634" spans="1:3" x14ac:dyDescent="0.55000000000000004">
      <c r="A1634" s="68">
        <v>506</v>
      </c>
      <c r="C1634" s="68">
        <v>20.16</v>
      </c>
    </row>
    <row r="1635" spans="1:3" x14ac:dyDescent="0.55000000000000004">
      <c r="A1635" s="68">
        <v>506</v>
      </c>
      <c r="C1635" s="68">
        <v>20.69</v>
      </c>
    </row>
    <row r="1636" spans="1:3" x14ac:dyDescent="0.55000000000000004">
      <c r="A1636" s="68">
        <v>506</v>
      </c>
      <c r="C1636" s="68">
        <v>21.21</v>
      </c>
    </row>
    <row r="1637" spans="1:3" x14ac:dyDescent="0.55000000000000004">
      <c r="A1637" s="68">
        <v>506</v>
      </c>
      <c r="C1637" s="68">
        <v>19.899999999999999</v>
      </c>
    </row>
    <row r="1638" spans="1:3" x14ac:dyDescent="0.55000000000000004">
      <c r="A1638" s="68">
        <v>506</v>
      </c>
      <c r="C1638" s="68">
        <v>21.74</v>
      </c>
    </row>
    <row r="1639" spans="1:3" x14ac:dyDescent="0.55000000000000004">
      <c r="A1639" s="68">
        <v>506</v>
      </c>
      <c r="C1639" s="68">
        <v>20.16</v>
      </c>
    </row>
    <row r="1640" spans="1:3" x14ac:dyDescent="0.55000000000000004">
      <c r="A1640" s="68">
        <v>506</v>
      </c>
      <c r="C1640" s="68">
        <v>20.16</v>
      </c>
    </row>
    <row r="1641" spans="1:3" x14ac:dyDescent="0.55000000000000004">
      <c r="A1641" s="68">
        <v>506</v>
      </c>
      <c r="C1641" s="68">
        <v>19.899999999999999</v>
      </c>
    </row>
    <row r="1642" spans="1:3" x14ac:dyDescent="0.55000000000000004">
      <c r="A1642" s="68">
        <v>506</v>
      </c>
      <c r="C1642" s="68">
        <v>20.16</v>
      </c>
    </row>
    <row r="1643" spans="1:3" x14ac:dyDescent="0.55000000000000004">
      <c r="A1643" s="68">
        <v>506</v>
      </c>
      <c r="C1643" s="68">
        <v>23.83</v>
      </c>
    </row>
    <row r="1644" spans="1:3" x14ac:dyDescent="0.55000000000000004">
      <c r="A1644" s="68">
        <v>506</v>
      </c>
      <c r="C1644" s="68">
        <v>20.16</v>
      </c>
    </row>
    <row r="1645" spans="1:3" x14ac:dyDescent="0.55000000000000004">
      <c r="A1645" s="68">
        <v>506</v>
      </c>
      <c r="C1645" s="68">
        <v>23.83</v>
      </c>
    </row>
    <row r="1646" spans="1:3" x14ac:dyDescent="0.55000000000000004">
      <c r="A1646" s="68">
        <v>738</v>
      </c>
      <c r="C1646" s="68">
        <v>23.31</v>
      </c>
    </row>
    <row r="1647" spans="1:3" x14ac:dyDescent="0.55000000000000004">
      <c r="A1647" s="68">
        <v>738</v>
      </c>
      <c r="C1647" s="68">
        <v>19.489999999999998</v>
      </c>
    </row>
    <row r="1648" spans="1:3" x14ac:dyDescent="0.55000000000000004">
      <c r="A1648" s="68">
        <v>738</v>
      </c>
      <c r="C1648" s="68">
        <v>18</v>
      </c>
    </row>
    <row r="1649" spans="1:3" x14ac:dyDescent="0.55000000000000004">
      <c r="A1649" s="68">
        <v>738</v>
      </c>
      <c r="C1649" s="68">
        <v>18.55</v>
      </c>
    </row>
    <row r="1650" spans="1:3" x14ac:dyDescent="0.55000000000000004">
      <c r="A1650" s="68">
        <v>738</v>
      </c>
      <c r="C1650" s="68">
        <v>18</v>
      </c>
    </row>
    <row r="1651" spans="1:3" x14ac:dyDescent="0.55000000000000004">
      <c r="A1651" s="68">
        <v>738</v>
      </c>
      <c r="C1651" s="68">
        <v>23.31</v>
      </c>
    </row>
    <row r="1652" spans="1:3" x14ac:dyDescent="0.55000000000000004">
      <c r="A1652" s="68">
        <v>738</v>
      </c>
      <c r="C1652" s="68">
        <v>23.31</v>
      </c>
    </row>
    <row r="1653" spans="1:3" x14ac:dyDescent="0.55000000000000004">
      <c r="A1653" s="68">
        <v>738</v>
      </c>
      <c r="C1653" s="68">
        <v>18.73</v>
      </c>
    </row>
    <row r="1654" spans="1:3" x14ac:dyDescent="0.55000000000000004">
      <c r="A1654" s="68">
        <v>738</v>
      </c>
      <c r="C1654" s="68">
        <v>14</v>
      </c>
    </row>
    <row r="1655" spans="1:3" x14ac:dyDescent="0.55000000000000004">
      <c r="A1655" s="68">
        <v>738</v>
      </c>
      <c r="C1655" s="68">
        <v>14</v>
      </c>
    </row>
    <row r="1656" spans="1:3" x14ac:dyDescent="0.55000000000000004">
      <c r="A1656" s="68">
        <v>738</v>
      </c>
      <c r="C1656" s="68">
        <v>22.63</v>
      </c>
    </row>
    <row r="1657" spans="1:3" x14ac:dyDescent="0.55000000000000004">
      <c r="A1657" s="68">
        <v>738</v>
      </c>
      <c r="C1657" s="68">
        <v>20.69</v>
      </c>
    </row>
    <row r="1658" spans="1:3" x14ac:dyDescent="0.55000000000000004">
      <c r="A1658" s="68">
        <v>738</v>
      </c>
      <c r="C1658" s="68">
        <v>19.11</v>
      </c>
    </row>
    <row r="1659" spans="1:3" x14ac:dyDescent="0.55000000000000004">
      <c r="A1659" s="68">
        <v>771</v>
      </c>
      <c r="C1659" s="68">
        <v>19.25</v>
      </c>
    </row>
    <row r="1660" spans="1:3" x14ac:dyDescent="0.55000000000000004">
      <c r="A1660" s="68">
        <v>771</v>
      </c>
      <c r="C1660" s="68">
        <v>22.95</v>
      </c>
    </row>
    <row r="1661" spans="1:3" x14ac:dyDescent="0.55000000000000004">
      <c r="A1661" s="68">
        <v>771</v>
      </c>
      <c r="C1661" s="68">
        <v>21.5</v>
      </c>
    </row>
    <row r="1662" spans="1:3" x14ac:dyDescent="0.55000000000000004">
      <c r="A1662" s="68">
        <v>771</v>
      </c>
      <c r="C1662" s="68">
        <v>19.77</v>
      </c>
    </row>
    <row r="1663" spans="1:3" x14ac:dyDescent="0.55000000000000004">
      <c r="A1663" s="68">
        <v>771</v>
      </c>
      <c r="C1663" s="68">
        <v>21.22</v>
      </c>
    </row>
    <row r="1664" spans="1:3" x14ac:dyDescent="0.55000000000000004">
      <c r="A1664" s="68">
        <v>771</v>
      </c>
      <c r="C1664" s="68">
        <v>20.43</v>
      </c>
    </row>
    <row r="1665" spans="1:3" x14ac:dyDescent="0.55000000000000004">
      <c r="A1665" s="68">
        <v>771</v>
      </c>
      <c r="C1665" s="68">
        <v>20.43</v>
      </c>
    </row>
    <row r="1666" spans="1:3" x14ac:dyDescent="0.55000000000000004">
      <c r="A1666" s="68">
        <v>771</v>
      </c>
      <c r="C1666" s="68">
        <v>19.829999999999998</v>
      </c>
    </row>
    <row r="1667" spans="1:3" x14ac:dyDescent="0.55000000000000004">
      <c r="A1667" s="68">
        <v>771</v>
      </c>
      <c r="C1667" s="68">
        <v>19.25</v>
      </c>
    </row>
    <row r="1668" spans="1:3" x14ac:dyDescent="0.55000000000000004">
      <c r="A1668" s="68">
        <v>771</v>
      </c>
      <c r="C1668" s="68">
        <v>21</v>
      </c>
    </row>
    <row r="1669" spans="1:3" x14ac:dyDescent="0.55000000000000004">
      <c r="A1669" s="68">
        <v>771</v>
      </c>
      <c r="C1669" s="68">
        <v>22.6</v>
      </c>
    </row>
    <row r="1670" spans="1:3" x14ac:dyDescent="0.55000000000000004">
      <c r="A1670" s="68">
        <v>771</v>
      </c>
      <c r="C1670" s="68">
        <v>22.22</v>
      </c>
    </row>
    <row r="1671" spans="1:3" x14ac:dyDescent="0.55000000000000004">
      <c r="A1671" s="68">
        <v>771</v>
      </c>
      <c r="C1671" s="68">
        <v>19.25</v>
      </c>
    </row>
    <row r="1672" spans="1:3" x14ac:dyDescent="0.55000000000000004">
      <c r="A1672" s="68">
        <v>771</v>
      </c>
      <c r="C1672" s="68">
        <v>22.95</v>
      </c>
    </row>
    <row r="1673" spans="1:3" x14ac:dyDescent="0.55000000000000004">
      <c r="A1673" s="68">
        <v>771</v>
      </c>
      <c r="C1673" s="68">
        <v>21.67</v>
      </c>
    </row>
    <row r="1674" spans="1:3" x14ac:dyDescent="0.55000000000000004">
      <c r="A1674" s="68">
        <v>771</v>
      </c>
      <c r="C1674" s="68">
        <v>19.25</v>
      </c>
    </row>
    <row r="1675" spans="1:3" x14ac:dyDescent="0.55000000000000004">
      <c r="A1675" s="68">
        <v>771</v>
      </c>
      <c r="C1675" s="68">
        <v>19.25</v>
      </c>
    </row>
    <row r="1676" spans="1:3" x14ac:dyDescent="0.55000000000000004">
      <c r="A1676" s="68">
        <v>771</v>
      </c>
      <c r="C1676" s="68">
        <v>21.47</v>
      </c>
    </row>
    <row r="1677" spans="1:3" x14ac:dyDescent="0.55000000000000004">
      <c r="A1677" s="68">
        <v>771</v>
      </c>
      <c r="C1677" s="68">
        <v>20.43</v>
      </c>
    </row>
    <row r="1678" spans="1:3" x14ac:dyDescent="0.55000000000000004">
      <c r="A1678" s="68">
        <v>771</v>
      </c>
      <c r="C1678" s="68">
        <v>19.25</v>
      </c>
    </row>
    <row r="1679" spans="1:3" x14ac:dyDescent="0.55000000000000004">
      <c r="A1679" s="68">
        <v>771</v>
      </c>
      <c r="C1679" s="68">
        <v>19.25</v>
      </c>
    </row>
    <row r="1680" spans="1:3" x14ac:dyDescent="0.55000000000000004">
      <c r="A1680" s="68">
        <v>771</v>
      </c>
      <c r="C1680" s="68">
        <v>19.25</v>
      </c>
    </row>
    <row r="1681" spans="1:3" x14ac:dyDescent="0.55000000000000004">
      <c r="A1681" s="68">
        <v>771</v>
      </c>
      <c r="C1681" s="68">
        <v>19.95</v>
      </c>
    </row>
    <row r="1682" spans="1:3" x14ac:dyDescent="0.55000000000000004">
      <c r="A1682" s="68">
        <v>984</v>
      </c>
      <c r="C1682" s="68">
        <v>17.510000000000002</v>
      </c>
    </row>
    <row r="1683" spans="1:3" x14ac:dyDescent="0.55000000000000004">
      <c r="A1683" s="68">
        <v>984</v>
      </c>
      <c r="C1683" s="68">
        <v>17.510000000000002</v>
      </c>
    </row>
    <row r="1684" spans="1:3" x14ac:dyDescent="0.55000000000000004">
      <c r="A1684" s="68">
        <v>984</v>
      </c>
      <c r="C1684" s="68">
        <v>17.510000000000002</v>
      </c>
    </row>
    <row r="1685" spans="1:3" x14ac:dyDescent="0.55000000000000004">
      <c r="A1685" s="68">
        <v>984</v>
      </c>
      <c r="C1685" s="68">
        <v>17.510000000000002</v>
      </c>
    </row>
    <row r="1686" spans="1:3" x14ac:dyDescent="0.55000000000000004">
      <c r="A1686" s="68">
        <v>984</v>
      </c>
      <c r="C1686" s="68">
        <v>17.510000000000002</v>
      </c>
    </row>
    <row r="1687" spans="1:3" x14ac:dyDescent="0.55000000000000004">
      <c r="A1687" s="68">
        <v>984</v>
      </c>
      <c r="C1687" s="68">
        <v>23.61</v>
      </c>
    </row>
    <row r="1688" spans="1:3" x14ac:dyDescent="0.55000000000000004">
      <c r="A1688" s="68">
        <v>984</v>
      </c>
      <c r="C1688" s="68">
        <v>17.510000000000002</v>
      </c>
    </row>
    <row r="1689" spans="1:3" x14ac:dyDescent="0.55000000000000004">
      <c r="A1689" s="68">
        <v>984</v>
      </c>
      <c r="C1689" s="68">
        <v>17.95</v>
      </c>
    </row>
    <row r="1690" spans="1:3" x14ac:dyDescent="0.55000000000000004">
      <c r="A1690" s="68">
        <v>984</v>
      </c>
      <c r="C1690" s="68">
        <v>18.399999999999999</v>
      </c>
    </row>
    <row r="1691" spans="1:3" x14ac:dyDescent="0.55000000000000004">
      <c r="A1691" s="68">
        <v>984</v>
      </c>
      <c r="C1691" s="68">
        <v>17.510000000000002</v>
      </c>
    </row>
    <row r="1692" spans="1:3" x14ac:dyDescent="0.55000000000000004">
      <c r="A1692" s="68">
        <v>984</v>
      </c>
      <c r="C1692" s="68">
        <v>17.510000000000002</v>
      </c>
    </row>
    <row r="1693" spans="1:3" x14ac:dyDescent="0.55000000000000004">
      <c r="A1693" s="68">
        <v>984</v>
      </c>
      <c r="C1693" s="68">
        <v>17.510000000000002</v>
      </c>
    </row>
    <row r="1694" spans="1:3" x14ac:dyDescent="0.55000000000000004">
      <c r="A1694" s="68">
        <v>984</v>
      </c>
      <c r="C1694" s="68">
        <v>18.86</v>
      </c>
    </row>
    <row r="1695" spans="1:3" x14ac:dyDescent="0.55000000000000004">
      <c r="A1695" s="68">
        <v>984</v>
      </c>
      <c r="C1695" s="68">
        <v>17.510000000000002</v>
      </c>
    </row>
    <row r="1696" spans="1:3" x14ac:dyDescent="0.55000000000000004">
      <c r="A1696" s="68">
        <v>984</v>
      </c>
      <c r="C1696" s="68">
        <v>17.95</v>
      </c>
    </row>
    <row r="1697" spans="1:3" x14ac:dyDescent="0.55000000000000004">
      <c r="A1697" s="68">
        <v>984</v>
      </c>
      <c r="C1697" s="68">
        <v>17.510000000000002</v>
      </c>
    </row>
    <row r="1698" spans="1:3" x14ac:dyDescent="0.55000000000000004">
      <c r="A1698" s="68">
        <v>984</v>
      </c>
      <c r="C1698" s="68">
        <v>17.510000000000002</v>
      </c>
    </row>
    <row r="1699" spans="1:3" x14ac:dyDescent="0.55000000000000004">
      <c r="A1699" s="68">
        <v>984</v>
      </c>
      <c r="C1699" s="68">
        <v>21.37</v>
      </c>
    </row>
    <row r="1700" spans="1:3" x14ac:dyDescent="0.55000000000000004">
      <c r="A1700" s="68">
        <v>984</v>
      </c>
      <c r="C1700" s="68">
        <v>17.510000000000002</v>
      </c>
    </row>
    <row r="1701" spans="1:3" x14ac:dyDescent="0.55000000000000004">
      <c r="A1701" s="68">
        <v>984</v>
      </c>
      <c r="C1701" s="68">
        <v>17.95</v>
      </c>
    </row>
    <row r="1702" spans="1:3" x14ac:dyDescent="0.55000000000000004">
      <c r="A1702" s="68">
        <v>984</v>
      </c>
      <c r="C1702" s="68">
        <v>17.95</v>
      </c>
    </row>
    <row r="1703" spans="1:3" x14ac:dyDescent="0.55000000000000004">
      <c r="A1703" s="68">
        <v>984</v>
      </c>
      <c r="C1703" s="68">
        <v>17.510000000000002</v>
      </c>
    </row>
    <row r="1704" spans="1:3" x14ac:dyDescent="0.55000000000000004">
      <c r="A1704" s="68">
        <v>984</v>
      </c>
      <c r="C1704" s="68">
        <v>17.510000000000002</v>
      </c>
    </row>
    <row r="1705" spans="1:3" x14ac:dyDescent="0.55000000000000004">
      <c r="A1705" s="68">
        <v>984</v>
      </c>
      <c r="C1705" s="68">
        <v>17.510000000000002</v>
      </c>
    </row>
    <row r="1706" spans="1:3" x14ac:dyDescent="0.55000000000000004">
      <c r="A1706" s="68">
        <v>984</v>
      </c>
      <c r="C1706" s="68">
        <v>17.510000000000002</v>
      </c>
    </row>
    <row r="1707" spans="1:3" x14ac:dyDescent="0.55000000000000004">
      <c r="A1707" s="68">
        <v>984</v>
      </c>
      <c r="C1707" s="68">
        <v>17.95</v>
      </c>
    </row>
    <row r="1708" spans="1:3" x14ac:dyDescent="0.55000000000000004">
      <c r="A1708" s="68">
        <v>984</v>
      </c>
      <c r="C1708" s="68">
        <v>20.329999999999998</v>
      </c>
    </row>
    <row r="1709" spans="1:3" x14ac:dyDescent="0.55000000000000004">
      <c r="A1709" s="68">
        <v>984</v>
      </c>
      <c r="C1709" s="68">
        <v>23.61</v>
      </c>
    </row>
    <row r="1710" spans="1:3" x14ac:dyDescent="0.55000000000000004">
      <c r="A1710" s="68">
        <v>984</v>
      </c>
      <c r="C1710" s="68">
        <v>17.510000000000002</v>
      </c>
    </row>
    <row r="1711" spans="1:3" x14ac:dyDescent="0.55000000000000004">
      <c r="A1711" s="68">
        <v>984</v>
      </c>
      <c r="C1711" s="68">
        <v>17.95</v>
      </c>
    </row>
    <row r="1712" spans="1:3" x14ac:dyDescent="0.55000000000000004">
      <c r="A1712" s="68">
        <v>984</v>
      </c>
      <c r="C1712" s="68">
        <v>17.510000000000002</v>
      </c>
    </row>
    <row r="1713" spans="1:3" x14ac:dyDescent="0.55000000000000004">
      <c r="A1713" s="68">
        <v>984</v>
      </c>
      <c r="C1713" s="68">
        <v>17.510000000000002</v>
      </c>
    </row>
    <row r="1714" spans="1:3" x14ac:dyDescent="0.55000000000000004">
      <c r="A1714" s="68">
        <v>984</v>
      </c>
      <c r="C1714" s="68">
        <v>17.95</v>
      </c>
    </row>
    <row r="1715" spans="1:3" x14ac:dyDescent="0.55000000000000004">
      <c r="A1715" s="68">
        <v>984</v>
      </c>
      <c r="C1715" s="68">
        <v>17.510000000000002</v>
      </c>
    </row>
    <row r="1716" spans="1:3" x14ac:dyDescent="0.55000000000000004">
      <c r="A1716" s="68">
        <v>984</v>
      </c>
      <c r="C1716" s="68">
        <v>17.510000000000002</v>
      </c>
    </row>
    <row r="1717" spans="1:3" x14ac:dyDescent="0.55000000000000004">
      <c r="A1717" s="68">
        <v>984</v>
      </c>
      <c r="C1717" s="68">
        <v>17.510000000000002</v>
      </c>
    </row>
    <row r="1718" spans="1:3" x14ac:dyDescent="0.55000000000000004">
      <c r="A1718" s="68">
        <v>984</v>
      </c>
      <c r="C1718" s="68">
        <v>17.510000000000002</v>
      </c>
    </row>
    <row r="1719" spans="1:3" x14ac:dyDescent="0.55000000000000004">
      <c r="A1719" s="68">
        <v>984</v>
      </c>
      <c r="C1719" s="68">
        <v>17.510000000000002</v>
      </c>
    </row>
    <row r="1720" spans="1:3" x14ac:dyDescent="0.55000000000000004">
      <c r="A1720" s="68">
        <v>984</v>
      </c>
      <c r="C1720" s="68">
        <v>17.510000000000002</v>
      </c>
    </row>
    <row r="1721" spans="1:3" x14ac:dyDescent="0.55000000000000004">
      <c r="A1721" s="68">
        <v>984</v>
      </c>
      <c r="C1721" s="68">
        <v>17.510000000000002</v>
      </c>
    </row>
    <row r="1722" spans="1:3" x14ac:dyDescent="0.55000000000000004">
      <c r="A1722" s="68">
        <v>984</v>
      </c>
      <c r="C1722" s="68">
        <v>17.510000000000002</v>
      </c>
    </row>
    <row r="1723" spans="1:3" x14ac:dyDescent="0.55000000000000004">
      <c r="A1723" s="68">
        <v>984</v>
      </c>
      <c r="C1723" s="68">
        <v>17.510000000000002</v>
      </c>
    </row>
    <row r="1724" spans="1:3" x14ac:dyDescent="0.55000000000000004">
      <c r="A1724" s="68">
        <v>984</v>
      </c>
      <c r="C1724" s="68">
        <v>17.510000000000002</v>
      </c>
    </row>
    <row r="1725" spans="1:3" x14ac:dyDescent="0.55000000000000004">
      <c r="A1725" s="68">
        <v>984</v>
      </c>
      <c r="C1725" s="68">
        <v>17.510000000000002</v>
      </c>
    </row>
    <row r="1726" spans="1:3" x14ac:dyDescent="0.55000000000000004">
      <c r="A1726" s="68">
        <v>984</v>
      </c>
      <c r="C1726" s="68">
        <v>17.510000000000002</v>
      </c>
    </row>
    <row r="1727" spans="1:3" x14ac:dyDescent="0.55000000000000004">
      <c r="A1727" s="68">
        <v>984</v>
      </c>
      <c r="C1727" s="68">
        <v>17.510000000000002</v>
      </c>
    </row>
    <row r="1728" spans="1:3" x14ac:dyDescent="0.55000000000000004">
      <c r="A1728" s="68">
        <v>984</v>
      </c>
      <c r="C1728" s="68">
        <v>18.399999999999999</v>
      </c>
    </row>
    <row r="1729" spans="1:3" x14ac:dyDescent="0.55000000000000004">
      <c r="A1729" s="68">
        <v>984</v>
      </c>
      <c r="C1729" s="68">
        <v>17.510000000000002</v>
      </c>
    </row>
    <row r="1730" spans="1:3" x14ac:dyDescent="0.55000000000000004">
      <c r="A1730" s="68">
        <v>984</v>
      </c>
      <c r="C1730" s="68">
        <v>17.510000000000002</v>
      </c>
    </row>
    <row r="1731" spans="1:3" x14ac:dyDescent="0.55000000000000004">
      <c r="A1731" s="68">
        <v>984</v>
      </c>
      <c r="C1731" s="68">
        <v>17.510000000000002</v>
      </c>
    </row>
    <row r="1732" spans="1:3" x14ac:dyDescent="0.55000000000000004">
      <c r="A1732" s="68">
        <v>984</v>
      </c>
      <c r="C1732" s="68">
        <v>17.95</v>
      </c>
    </row>
    <row r="1733" spans="1:3" x14ac:dyDescent="0.55000000000000004">
      <c r="A1733" s="68">
        <v>984</v>
      </c>
      <c r="C1733" s="68">
        <v>17.510000000000002</v>
      </c>
    </row>
    <row r="1734" spans="1:3" x14ac:dyDescent="0.55000000000000004">
      <c r="A1734" s="68">
        <v>984</v>
      </c>
      <c r="C1734" s="68">
        <v>19.34</v>
      </c>
    </row>
    <row r="1735" spans="1:3" x14ac:dyDescent="0.55000000000000004">
      <c r="A1735" s="68">
        <v>984</v>
      </c>
      <c r="C1735" s="68">
        <v>17.95</v>
      </c>
    </row>
    <row r="1736" spans="1:3" x14ac:dyDescent="0.55000000000000004">
      <c r="A1736" s="68">
        <v>984</v>
      </c>
      <c r="C1736" s="68">
        <v>17.95</v>
      </c>
    </row>
    <row r="1737" spans="1:3" x14ac:dyDescent="0.55000000000000004">
      <c r="A1737" s="68">
        <v>984</v>
      </c>
      <c r="C1737" s="68">
        <v>17.510000000000002</v>
      </c>
    </row>
    <row r="1738" spans="1:3" x14ac:dyDescent="0.55000000000000004">
      <c r="A1738" s="68">
        <v>984</v>
      </c>
      <c r="C1738" s="68">
        <v>17.95</v>
      </c>
    </row>
    <row r="1739" spans="1:3" x14ac:dyDescent="0.55000000000000004">
      <c r="A1739" s="68">
        <v>984</v>
      </c>
      <c r="C1739" s="68">
        <v>17.510000000000002</v>
      </c>
    </row>
    <row r="1740" spans="1:3" x14ac:dyDescent="0.55000000000000004">
      <c r="A1740" s="68">
        <v>984</v>
      </c>
      <c r="C1740" s="68">
        <v>17.510000000000002</v>
      </c>
    </row>
    <row r="1741" spans="1:3" x14ac:dyDescent="0.55000000000000004">
      <c r="A1741" s="68">
        <v>984</v>
      </c>
      <c r="C1741" s="68">
        <v>21.91</v>
      </c>
    </row>
    <row r="1742" spans="1:3" x14ac:dyDescent="0.55000000000000004">
      <c r="A1742" s="68">
        <v>984</v>
      </c>
      <c r="C1742" s="68">
        <v>17.510000000000002</v>
      </c>
    </row>
    <row r="1743" spans="1:3" x14ac:dyDescent="0.55000000000000004">
      <c r="A1743" s="68">
        <v>984</v>
      </c>
      <c r="C1743" s="68">
        <v>20.329999999999998</v>
      </c>
    </row>
    <row r="1744" spans="1:3" x14ac:dyDescent="0.55000000000000004">
      <c r="A1744" s="68">
        <v>984</v>
      </c>
      <c r="C1744" s="68">
        <v>17.510000000000002</v>
      </c>
    </row>
    <row r="1745" spans="1:3" x14ac:dyDescent="0.55000000000000004">
      <c r="A1745" s="68">
        <v>984</v>
      </c>
      <c r="C1745" s="68">
        <v>17.510000000000002</v>
      </c>
    </row>
    <row r="1746" spans="1:3" x14ac:dyDescent="0.55000000000000004">
      <c r="A1746" s="68">
        <v>984</v>
      </c>
      <c r="C1746" s="68">
        <v>17.510000000000002</v>
      </c>
    </row>
    <row r="1747" spans="1:3" x14ac:dyDescent="0.55000000000000004">
      <c r="A1747" s="68">
        <v>984</v>
      </c>
      <c r="C1747" s="68">
        <v>17.95</v>
      </c>
    </row>
    <row r="1748" spans="1:3" x14ac:dyDescent="0.55000000000000004">
      <c r="A1748" s="68">
        <v>984</v>
      </c>
      <c r="C1748" s="68">
        <v>18.86</v>
      </c>
    </row>
    <row r="1749" spans="1:3" x14ac:dyDescent="0.55000000000000004">
      <c r="A1749" s="68">
        <v>984</v>
      </c>
      <c r="C1749" s="68">
        <v>17.95</v>
      </c>
    </row>
    <row r="1750" spans="1:3" x14ac:dyDescent="0.55000000000000004">
      <c r="A1750" s="68">
        <v>984</v>
      </c>
      <c r="C1750" s="68">
        <v>22.46</v>
      </c>
    </row>
    <row r="1751" spans="1:3" x14ac:dyDescent="0.55000000000000004">
      <c r="A1751" s="68">
        <v>984</v>
      </c>
      <c r="C1751" s="68">
        <v>17.95</v>
      </c>
    </row>
    <row r="1752" spans="1:3" x14ac:dyDescent="0.55000000000000004">
      <c r="A1752" s="68">
        <v>984</v>
      </c>
      <c r="C1752" s="68">
        <v>17.510000000000002</v>
      </c>
    </row>
    <row r="1753" spans="1:3" x14ac:dyDescent="0.55000000000000004">
      <c r="A1753" s="68">
        <v>984</v>
      </c>
      <c r="C1753" s="68">
        <v>17.510000000000002</v>
      </c>
    </row>
    <row r="1754" spans="1:3" x14ac:dyDescent="0.55000000000000004">
      <c r="A1754" s="68">
        <v>984</v>
      </c>
      <c r="C1754" s="68">
        <v>19.829999999999998</v>
      </c>
    </row>
    <row r="1755" spans="1:3" x14ac:dyDescent="0.55000000000000004">
      <c r="A1755" s="68">
        <v>984</v>
      </c>
      <c r="C1755" s="68">
        <v>21.37</v>
      </c>
    </row>
    <row r="1756" spans="1:3" x14ac:dyDescent="0.55000000000000004">
      <c r="A1756" s="68">
        <v>718</v>
      </c>
      <c r="C1756" s="68">
        <v>17.059999999999999</v>
      </c>
    </row>
    <row r="1757" spans="1:3" x14ac:dyDescent="0.55000000000000004">
      <c r="A1757" s="68">
        <v>718</v>
      </c>
      <c r="C1757" s="68">
        <v>17.059999999999999</v>
      </c>
    </row>
    <row r="1758" spans="1:3" x14ac:dyDescent="0.55000000000000004">
      <c r="A1758" s="68">
        <v>718</v>
      </c>
      <c r="C1758" s="68">
        <v>17.059999999999999</v>
      </c>
    </row>
    <row r="1759" spans="1:3" x14ac:dyDescent="0.55000000000000004">
      <c r="A1759" s="68">
        <v>718</v>
      </c>
      <c r="C1759" s="68">
        <v>17.059999999999999</v>
      </c>
    </row>
    <row r="1760" spans="1:3" x14ac:dyDescent="0.55000000000000004">
      <c r="A1760" s="68">
        <v>718</v>
      </c>
      <c r="C1760" s="68">
        <v>17.059999999999999</v>
      </c>
    </row>
    <row r="1761" spans="1:3" x14ac:dyDescent="0.55000000000000004">
      <c r="A1761" s="68">
        <v>718</v>
      </c>
      <c r="C1761" s="68">
        <v>17.059999999999999</v>
      </c>
    </row>
    <row r="1762" spans="1:3" x14ac:dyDescent="0.55000000000000004">
      <c r="A1762" s="68">
        <v>718</v>
      </c>
      <c r="C1762" s="68">
        <v>17.059999999999999</v>
      </c>
    </row>
    <row r="1763" spans="1:3" x14ac:dyDescent="0.55000000000000004">
      <c r="A1763" s="68">
        <v>718</v>
      </c>
      <c r="C1763" s="68">
        <v>17.059999999999999</v>
      </c>
    </row>
    <row r="1764" spans="1:3" x14ac:dyDescent="0.55000000000000004">
      <c r="A1764" s="68">
        <v>718</v>
      </c>
      <c r="C1764" s="68">
        <v>17.059999999999999</v>
      </c>
    </row>
    <row r="1765" spans="1:3" x14ac:dyDescent="0.55000000000000004">
      <c r="A1765" s="68">
        <v>718</v>
      </c>
      <c r="C1765" s="68">
        <v>17.190000000000001</v>
      </c>
    </row>
    <row r="1766" spans="1:3" x14ac:dyDescent="0.55000000000000004">
      <c r="A1766" s="68">
        <v>718</v>
      </c>
      <c r="C1766" s="68">
        <v>17.190000000000001</v>
      </c>
    </row>
    <row r="1767" spans="1:3" x14ac:dyDescent="0.55000000000000004">
      <c r="A1767" s="68">
        <v>718</v>
      </c>
      <c r="C1767" s="68">
        <v>17.190000000000001</v>
      </c>
    </row>
    <row r="1768" spans="1:3" x14ac:dyDescent="0.55000000000000004">
      <c r="A1768" s="68">
        <v>718</v>
      </c>
      <c r="C1768" s="68">
        <v>17.190000000000001</v>
      </c>
    </row>
    <row r="1769" spans="1:3" x14ac:dyDescent="0.55000000000000004">
      <c r="A1769" s="68">
        <v>718</v>
      </c>
      <c r="C1769" s="68">
        <v>17.190000000000001</v>
      </c>
    </row>
    <row r="1770" spans="1:3" x14ac:dyDescent="0.55000000000000004">
      <c r="A1770" s="68">
        <v>718</v>
      </c>
      <c r="C1770" s="68">
        <v>17.190000000000001</v>
      </c>
    </row>
    <row r="1771" spans="1:3" x14ac:dyDescent="0.55000000000000004">
      <c r="A1771" s="68">
        <v>718</v>
      </c>
      <c r="C1771" s="68">
        <v>17.190000000000001</v>
      </c>
    </row>
    <row r="1772" spans="1:3" x14ac:dyDescent="0.55000000000000004">
      <c r="A1772" s="68">
        <v>718</v>
      </c>
      <c r="C1772" s="68">
        <v>17.190000000000001</v>
      </c>
    </row>
    <row r="1773" spans="1:3" x14ac:dyDescent="0.55000000000000004">
      <c r="A1773" s="68">
        <v>718</v>
      </c>
      <c r="C1773" s="68">
        <v>17.190000000000001</v>
      </c>
    </row>
    <row r="1774" spans="1:3" x14ac:dyDescent="0.55000000000000004">
      <c r="A1774" s="68">
        <v>718</v>
      </c>
      <c r="C1774" s="68">
        <v>17.190000000000001</v>
      </c>
    </row>
    <row r="1775" spans="1:3" x14ac:dyDescent="0.55000000000000004">
      <c r="A1775" s="68">
        <v>718</v>
      </c>
      <c r="C1775" s="68">
        <v>17.32</v>
      </c>
    </row>
    <row r="1776" spans="1:3" x14ac:dyDescent="0.55000000000000004">
      <c r="A1776" s="68">
        <v>718</v>
      </c>
      <c r="C1776" s="68">
        <v>17.32</v>
      </c>
    </row>
    <row r="1777" spans="1:3" x14ac:dyDescent="0.55000000000000004">
      <c r="A1777" s="68">
        <v>718</v>
      </c>
      <c r="C1777" s="68">
        <v>17.36</v>
      </c>
    </row>
    <row r="1778" spans="1:3" x14ac:dyDescent="0.55000000000000004">
      <c r="A1778" s="68">
        <v>718</v>
      </c>
      <c r="C1778" s="68">
        <v>17.54</v>
      </c>
    </row>
    <row r="1779" spans="1:3" x14ac:dyDescent="0.55000000000000004">
      <c r="A1779" s="68">
        <v>718</v>
      </c>
      <c r="C1779" s="68">
        <v>17.579999999999998</v>
      </c>
    </row>
    <row r="1780" spans="1:3" x14ac:dyDescent="0.55000000000000004">
      <c r="A1780" s="68">
        <v>718</v>
      </c>
      <c r="C1780" s="68">
        <v>17.579999999999998</v>
      </c>
    </row>
    <row r="1781" spans="1:3" x14ac:dyDescent="0.55000000000000004">
      <c r="A1781" s="68">
        <v>718</v>
      </c>
      <c r="C1781" s="68">
        <v>17.71</v>
      </c>
    </row>
    <row r="1782" spans="1:3" x14ac:dyDescent="0.55000000000000004">
      <c r="A1782" s="68">
        <v>718</v>
      </c>
      <c r="C1782" s="68">
        <v>17.739999999999998</v>
      </c>
    </row>
    <row r="1783" spans="1:3" x14ac:dyDescent="0.55000000000000004">
      <c r="A1783" s="68">
        <v>718</v>
      </c>
      <c r="C1783" s="68">
        <v>17.97</v>
      </c>
    </row>
    <row r="1784" spans="1:3" x14ac:dyDescent="0.55000000000000004">
      <c r="A1784" s="68">
        <v>718</v>
      </c>
      <c r="C1784" s="68">
        <v>17.97</v>
      </c>
    </row>
    <row r="1785" spans="1:3" x14ac:dyDescent="0.55000000000000004">
      <c r="A1785" s="68">
        <v>718</v>
      </c>
      <c r="C1785" s="68">
        <v>17.97</v>
      </c>
    </row>
    <row r="1786" spans="1:3" x14ac:dyDescent="0.55000000000000004">
      <c r="A1786" s="68">
        <v>718</v>
      </c>
      <c r="C1786" s="68">
        <v>18.32</v>
      </c>
    </row>
    <row r="1787" spans="1:3" x14ac:dyDescent="0.55000000000000004">
      <c r="A1787" s="68">
        <v>718</v>
      </c>
      <c r="C1787" s="68">
        <v>18.37</v>
      </c>
    </row>
    <row r="1788" spans="1:3" x14ac:dyDescent="0.55000000000000004">
      <c r="A1788" s="68">
        <v>718</v>
      </c>
      <c r="C1788" s="68">
        <v>18.37</v>
      </c>
    </row>
    <row r="1789" spans="1:3" x14ac:dyDescent="0.55000000000000004">
      <c r="A1789" s="68">
        <v>718</v>
      </c>
      <c r="C1789" s="68">
        <v>18.62</v>
      </c>
    </row>
    <row r="1790" spans="1:3" x14ac:dyDescent="0.55000000000000004">
      <c r="A1790" s="68">
        <v>718</v>
      </c>
      <c r="C1790" s="68">
        <v>18.71</v>
      </c>
    </row>
    <row r="1791" spans="1:3" x14ac:dyDescent="0.55000000000000004">
      <c r="A1791" s="68">
        <v>718</v>
      </c>
      <c r="C1791" s="68">
        <v>18.77</v>
      </c>
    </row>
    <row r="1792" spans="1:3" x14ac:dyDescent="0.55000000000000004">
      <c r="A1792" s="68">
        <v>718</v>
      </c>
      <c r="C1792" s="68">
        <v>19.510000000000002</v>
      </c>
    </row>
    <row r="1793" spans="1:3" x14ac:dyDescent="0.55000000000000004">
      <c r="A1793" s="68">
        <v>718</v>
      </c>
      <c r="C1793" s="68">
        <v>19.809999999999999</v>
      </c>
    </row>
    <row r="1794" spans="1:3" x14ac:dyDescent="0.55000000000000004">
      <c r="A1794" s="68">
        <v>718</v>
      </c>
      <c r="C1794" s="68">
        <v>20.2</v>
      </c>
    </row>
    <row r="1795" spans="1:3" x14ac:dyDescent="0.55000000000000004">
      <c r="A1795" s="68">
        <v>718</v>
      </c>
      <c r="C1795" s="68">
        <v>20.78</v>
      </c>
    </row>
    <row r="1796" spans="1:3" x14ac:dyDescent="0.55000000000000004">
      <c r="A1796" s="68">
        <v>718</v>
      </c>
      <c r="C1796" s="68">
        <v>22.37</v>
      </c>
    </row>
    <row r="1797" spans="1:3" x14ac:dyDescent="0.55000000000000004">
      <c r="A1797" s="68">
        <v>718</v>
      </c>
      <c r="C1797" s="68">
        <v>22.37</v>
      </c>
    </row>
    <row r="1798" spans="1:3" x14ac:dyDescent="0.55000000000000004">
      <c r="A1798" s="68">
        <v>718</v>
      </c>
      <c r="C1798" s="68">
        <v>22.37</v>
      </c>
    </row>
    <row r="1799" spans="1:3" x14ac:dyDescent="0.55000000000000004">
      <c r="A1799" s="68">
        <v>718</v>
      </c>
      <c r="C1799" s="68">
        <v>22.37</v>
      </c>
    </row>
    <row r="1800" spans="1:3" x14ac:dyDescent="0.55000000000000004">
      <c r="A1800" s="68">
        <v>718</v>
      </c>
      <c r="C1800" s="68">
        <v>22.37</v>
      </c>
    </row>
    <row r="1801" spans="1:3" x14ac:dyDescent="0.55000000000000004">
      <c r="A1801" s="68">
        <v>718</v>
      </c>
      <c r="C1801" s="68">
        <v>22.37</v>
      </c>
    </row>
    <row r="1802" spans="1:3" x14ac:dyDescent="0.55000000000000004">
      <c r="A1802" s="68">
        <v>718</v>
      </c>
      <c r="C1802" s="68">
        <v>22.37</v>
      </c>
    </row>
    <row r="1803" spans="1:3" x14ac:dyDescent="0.55000000000000004">
      <c r="A1803" s="68">
        <v>718</v>
      </c>
      <c r="C1803" s="68">
        <v>22.37</v>
      </c>
    </row>
    <row r="1804" spans="1:3" x14ac:dyDescent="0.55000000000000004">
      <c r="A1804" s="68">
        <v>718</v>
      </c>
      <c r="C1804" s="68">
        <v>23.32</v>
      </c>
    </row>
    <row r="1805" spans="1:3" x14ac:dyDescent="0.55000000000000004">
      <c r="A1805" s="68">
        <v>382</v>
      </c>
      <c r="C1805" s="68">
        <v>17.11</v>
      </c>
    </row>
    <row r="1806" spans="1:3" x14ac:dyDescent="0.55000000000000004">
      <c r="A1806" s="68">
        <v>382</v>
      </c>
      <c r="C1806" s="68">
        <v>17</v>
      </c>
    </row>
    <row r="1807" spans="1:3" x14ac:dyDescent="0.55000000000000004">
      <c r="A1807" s="68">
        <v>382</v>
      </c>
      <c r="C1807" s="68">
        <v>17</v>
      </c>
    </row>
    <row r="1808" spans="1:3" x14ac:dyDescent="0.55000000000000004">
      <c r="A1808" s="68">
        <v>382</v>
      </c>
      <c r="C1808" s="68">
        <v>17</v>
      </c>
    </row>
    <row r="1809" spans="1:3" x14ac:dyDescent="0.55000000000000004">
      <c r="A1809" s="68">
        <v>382</v>
      </c>
      <c r="C1809" s="68">
        <v>17</v>
      </c>
    </row>
    <row r="1810" spans="1:3" x14ac:dyDescent="0.55000000000000004">
      <c r="A1810" s="68">
        <v>382</v>
      </c>
      <c r="C1810" s="68">
        <v>17</v>
      </c>
    </row>
    <row r="1811" spans="1:3" x14ac:dyDescent="0.55000000000000004">
      <c r="A1811" s="68">
        <v>382</v>
      </c>
      <c r="C1811" s="68">
        <v>17</v>
      </c>
    </row>
    <row r="1812" spans="1:3" x14ac:dyDescent="0.55000000000000004">
      <c r="A1812" s="68">
        <v>382</v>
      </c>
      <c r="C1812" s="68">
        <v>17</v>
      </c>
    </row>
    <row r="1813" spans="1:3" x14ac:dyDescent="0.55000000000000004">
      <c r="A1813" s="68">
        <v>382</v>
      </c>
      <c r="C1813" s="68">
        <v>17</v>
      </c>
    </row>
    <row r="1814" spans="1:3" x14ac:dyDescent="0.55000000000000004">
      <c r="A1814" s="68">
        <v>382</v>
      </c>
      <c r="C1814" s="68">
        <v>17</v>
      </c>
    </row>
    <row r="1815" spans="1:3" x14ac:dyDescent="0.55000000000000004">
      <c r="A1815" s="68">
        <v>382</v>
      </c>
      <c r="C1815" s="68">
        <v>17</v>
      </c>
    </row>
    <row r="1816" spans="1:3" x14ac:dyDescent="0.55000000000000004">
      <c r="A1816" s="68">
        <v>382</v>
      </c>
      <c r="C1816" s="68">
        <v>17</v>
      </c>
    </row>
    <row r="1817" spans="1:3" x14ac:dyDescent="0.55000000000000004">
      <c r="A1817" s="68">
        <v>382</v>
      </c>
      <c r="C1817" s="68">
        <v>17</v>
      </c>
    </row>
    <row r="1818" spans="1:3" x14ac:dyDescent="0.55000000000000004">
      <c r="A1818" s="68">
        <v>382</v>
      </c>
      <c r="C1818" s="68">
        <v>17</v>
      </c>
    </row>
    <row r="1819" spans="1:3" x14ac:dyDescent="0.55000000000000004">
      <c r="A1819" s="68">
        <v>382</v>
      </c>
      <c r="C1819" s="68">
        <v>17</v>
      </c>
    </row>
    <row r="1820" spans="1:3" x14ac:dyDescent="0.55000000000000004">
      <c r="A1820" s="68">
        <v>382</v>
      </c>
      <c r="C1820" s="68">
        <v>17.3</v>
      </c>
    </row>
    <row r="1821" spans="1:3" x14ac:dyDescent="0.55000000000000004">
      <c r="A1821" s="68">
        <v>382</v>
      </c>
      <c r="C1821" s="68">
        <v>17.3</v>
      </c>
    </row>
    <row r="1822" spans="1:3" x14ac:dyDescent="0.55000000000000004">
      <c r="A1822" s="68">
        <v>382</v>
      </c>
      <c r="C1822" s="68">
        <v>17.3</v>
      </c>
    </row>
    <row r="1823" spans="1:3" x14ac:dyDescent="0.55000000000000004">
      <c r="A1823" s="68">
        <v>382</v>
      </c>
      <c r="C1823" s="68">
        <v>17.3</v>
      </c>
    </row>
    <row r="1824" spans="1:3" x14ac:dyDescent="0.55000000000000004">
      <c r="A1824" s="68">
        <v>382</v>
      </c>
      <c r="C1824" s="68">
        <v>17.3</v>
      </c>
    </row>
    <row r="1825" spans="1:3" x14ac:dyDescent="0.55000000000000004">
      <c r="A1825" s="68">
        <v>382</v>
      </c>
      <c r="C1825" s="68">
        <v>17.3</v>
      </c>
    </row>
    <row r="1826" spans="1:3" x14ac:dyDescent="0.55000000000000004">
      <c r="A1826" s="68">
        <v>382</v>
      </c>
      <c r="C1826" s="68">
        <v>17.329999999999998</v>
      </c>
    </row>
    <row r="1827" spans="1:3" x14ac:dyDescent="0.55000000000000004">
      <c r="A1827" s="68">
        <v>382</v>
      </c>
      <c r="C1827" s="68">
        <v>17.329999999999998</v>
      </c>
    </row>
    <row r="1828" spans="1:3" x14ac:dyDescent="0.55000000000000004">
      <c r="A1828" s="68">
        <v>382</v>
      </c>
      <c r="C1828" s="68">
        <v>17.329999999999998</v>
      </c>
    </row>
    <row r="1829" spans="1:3" x14ac:dyDescent="0.55000000000000004">
      <c r="A1829" s="68">
        <v>382</v>
      </c>
      <c r="C1829" s="68">
        <v>17.600000000000001</v>
      </c>
    </row>
    <row r="1830" spans="1:3" x14ac:dyDescent="0.55000000000000004">
      <c r="A1830" s="68">
        <v>382</v>
      </c>
      <c r="C1830" s="68">
        <v>17.600000000000001</v>
      </c>
    </row>
    <row r="1831" spans="1:3" x14ac:dyDescent="0.55000000000000004">
      <c r="A1831" s="68">
        <v>382</v>
      </c>
      <c r="C1831" s="68">
        <v>17.600000000000001</v>
      </c>
    </row>
    <row r="1832" spans="1:3" x14ac:dyDescent="0.55000000000000004">
      <c r="A1832" s="68">
        <v>382</v>
      </c>
      <c r="C1832" s="68">
        <v>17.600000000000001</v>
      </c>
    </row>
    <row r="1833" spans="1:3" x14ac:dyDescent="0.55000000000000004">
      <c r="A1833" s="68">
        <v>382</v>
      </c>
      <c r="C1833" s="68">
        <v>17.600000000000001</v>
      </c>
    </row>
    <row r="1834" spans="1:3" x14ac:dyDescent="0.55000000000000004">
      <c r="A1834" s="68">
        <v>382</v>
      </c>
      <c r="C1834" s="68">
        <v>17.600000000000001</v>
      </c>
    </row>
    <row r="1835" spans="1:3" x14ac:dyDescent="0.55000000000000004">
      <c r="A1835" s="68">
        <v>382</v>
      </c>
      <c r="C1835" s="68">
        <v>17.600000000000001</v>
      </c>
    </row>
    <row r="1836" spans="1:3" x14ac:dyDescent="0.55000000000000004">
      <c r="A1836" s="68">
        <v>382</v>
      </c>
      <c r="C1836" s="68">
        <v>17.600000000000001</v>
      </c>
    </row>
    <row r="1837" spans="1:3" x14ac:dyDescent="0.55000000000000004">
      <c r="A1837" s="68">
        <v>382</v>
      </c>
      <c r="C1837" s="68">
        <v>17.600000000000001</v>
      </c>
    </row>
    <row r="1838" spans="1:3" x14ac:dyDescent="0.55000000000000004">
      <c r="A1838" s="68">
        <v>382</v>
      </c>
      <c r="C1838" s="68">
        <v>17.600000000000001</v>
      </c>
    </row>
    <row r="1839" spans="1:3" x14ac:dyDescent="0.55000000000000004">
      <c r="A1839" s="68">
        <v>382</v>
      </c>
      <c r="C1839" s="68">
        <v>17.940000000000001</v>
      </c>
    </row>
    <row r="1840" spans="1:3" x14ac:dyDescent="0.55000000000000004">
      <c r="A1840" s="68">
        <v>382</v>
      </c>
      <c r="C1840" s="68">
        <v>17.940000000000001</v>
      </c>
    </row>
    <row r="1841" spans="1:3" x14ac:dyDescent="0.55000000000000004">
      <c r="A1841" s="68">
        <v>382</v>
      </c>
      <c r="C1841" s="68">
        <v>18.02</v>
      </c>
    </row>
    <row r="1842" spans="1:3" x14ac:dyDescent="0.55000000000000004">
      <c r="A1842" s="68">
        <v>382</v>
      </c>
      <c r="C1842" s="68">
        <v>18.02</v>
      </c>
    </row>
    <row r="1843" spans="1:3" x14ac:dyDescent="0.55000000000000004">
      <c r="A1843" s="68">
        <v>382</v>
      </c>
      <c r="C1843" s="68">
        <v>18.02</v>
      </c>
    </row>
    <row r="1844" spans="1:3" x14ac:dyDescent="0.55000000000000004">
      <c r="A1844" s="68">
        <v>382</v>
      </c>
      <c r="C1844" s="68">
        <v>18.02</v>
      </c>
    </row>
    <row r="1845" spans="1:3" x14ac:dyDescent="0.55000000000000004">
      <c r="A1845" s="68">
        <v>382</v>
      </c>
      <c r="C1845" s="68">
        <v>18.02</v>
      </c>
    </row>
    <row r="1846" spans="1:3" x14ac:dyDescent="0.55000000000000004">
      <c r="A1846" s="68">
        <v>382</v>
      </c>
      <c r="C1846" s="68">
        <v>18.34</v>
      </c>
    </row>
    <row r="1847" spans="1:3" x14ac:dyDescent="0.55000000000000004">
      <c r="A1847" s="68">
        <v>382</v>
      </c>
      <c r="C1847" s="68">
        <v>18.47</v>
      </c>
    </row>
    <row r="1848" spans="1:3" x14ac:dyDescent="0.55000000000000004">
      <c r="A1848" s="68">
        <v>382</v>
      </c>
      <c r="C1848" s="68">
        <v>18.48</v>
      </c>
    </row>
    <row r="1849" spans="1:3" x14ac:dyDescent="0.55000000000000004">
      <c r="A1849" s="68">
        <v>382</v>
      </c>
      <c r="C1849" s="68">
        <v>18.48</v>
      </c>
    </row>
    <row r="1850" spans="1:3" x14ac:dyDescent="0.55000000000000004">
      <c r="A1850" s="68">
        <v>382</v>
      </c>
      <c r="C1850" s="68">
        <v>18.48</v>
      </c>
    </row>
    <row r="1851" spans="1:3" x14ac:dyDescent="0.55000000000000004">
      <c r="A1851" s="68">
        <v>382</v>
      </c>
      <c r="C1851" s="68">
        <v>18.93</v>
      </c>
    </row>
    <row r="1852" spans="1:3" x14ac:dyDescent="0.55000000000000004">
      <c r="A1852" s="68">
        <v>382</v>
      </c>
      <c r="C1852" s="68">
        <v>19</v>
      </c>
    </row>
    <row r="1853" spans="1:3" x14ac:dyDescent="0.55000000000000004">
      <c r="A1853" s="68">
        <v>382</v>
      </c>
      <c r="C1853" s="68">
        <v>19.04</v>
      </c>
    </row>
    <row r="1854" spans="1:3" x14ac:dyDescent="0.55000000000000004">
      <c r="A1854" s="68">
        <v>382</v>
      </c>
      <c r="C1854" s="68">
        <v>19.22</v>
      </c>
    </row>
    <row r="1855" spans="1:3" x14ac:dyDescent="0.55000000000000004">
      <c r="A1855" s="68">
        <v>382</v>
      </c>
      <c r="C1855" s="68">
        <v>19.329999999999998</v>
      </c>
    </row>
    <row r="1856" spans="1:3" x14ac:dyDescent="0.55000000000000004">
      <c r="A1856" s="68">
        <v>382</v>
      </c>
      <c r="C1856" s="68">
        <v>19.34</v>
      </c>
    </row>
    <row r="1857" spans="1:3" x14ac:dyDescent="0.55000000000000004">
      <c r="A1857" s="68">
        <v>382</v>
      </c>
      <c r="C1857" s="68">
        <v>19.510000000000002</v>
      </c>
    </row>
    <row r="1858" spans="1:3" x14ac:dyDescent="0.55000000000000004">
      <c r="A1858" s="68">
        <v>382</v>
      </c>
      <c r="C1858" s="68">
        <v>19.649999999999999</v>
      </c>
    </row>
    <row r="1859" spans="1:3" x14ac:dyDescent="0.55000000000000004">
      <c r="A1859" s="68">
        <v>382</v>
      </c>
      <c r="C1859" s="68">
        <v>19.8</v>
      </c>
    </row>
    <row r="1860" spans="1:3" x14ac:dyDescent="0.55000000000000004">
      <c r="A1860" s="68">
        <v>382</v>
      </c>
      <c r="C1860" s="68">
        <v>20.190000000000001</v>
      </c>
    </row>
    <row r="1861" spans="1:3" x14ac:dyDescent="0.55000000000000004">
      <c r="A1861" s="68">
        <v>861</v>
      </c>
      <c r="C1861" s="68">
        <v>20</v>
      </c>
    </row>
    <row r="1862" spans="1:3" x14ac:dyDescent="0.55000000000000004">
      <c r="A1862" s="68">
        <v>861</v>
      </c>
      <c r="C1862" s="68">
        <v>20</v>
      </c>
    </row>
    <row r="1863" spans="1:3" x14ac:dyDescent="0.55000000000000004">
      <c r="A1863" s="68">
        <v>861</v>
      </c>
      <c r="C1863" s="68">
        <v>20</v>
      </c>
    </row>
    <row r="1864" spans="1:3" x14ac:dyDescent="0.55000000000000004">
      <c r="A1864" s="68">
        <v>861</v>
      </c>
      <c r="C1864" s="68">
        <v>20</v>
      </c>
    </row>
    <row r="1865" spans="1:3" x14ac:dyDescent="0.55000000000000004">
      <c r="A1865" s="68">
        <v>861</v>
      </c>
      <c r="C1865" s="68">
        <v>20</v>
      </c>
    </row>
    <row r="1866" spans="1:3" x14ac:dyDescent="0.55000000000000004">
      <c r="A1866" s="68">
        <v>861</v>
      </c>
      <c r="C1866" s="68">
        <v>20</v>
      </c>
    </row>
    <row r="1867" spans="1:3" x14ac:dyDescent="0.55000000000000004">
      <c r="A1867" s="68">
        <v>861</v>
      </c>
      <c r="C1867" s="68">
        <v>20</v>
      </c>
    </row>
    <row r="1868" spans="1:3" x14ac:dyDescent="0.55000000000000004">
      <c r="A1868" s="68">
        <v>861</v>
      </c>
      <c r="C1868" s="68">
        <v>20</v>
      </c>
    </row>
    <row r="1869" spans="1:3" x14ac:dyDescent="0.55000000000000004">
      <c r="A1869" s="68">
        <v>861</v>
      </c>
      <c r="C1869" s="68">
        <v>20</v>
      </c>
    </row>
    <row r="1870" spans="1:3" x14ac:dyDescent="0.55000000000000004">
      <c r="A1870" s="68">
        <v>861</v>
      </c>
      <c r="C1870" s="68">
        <v>20</v>
      </c>
    </row>
    <row r="1871" spans="1:3" x14ac:dyDescent="0.55000000000000004">
      <c r="A1871" s="68">
        <v>861</v>
      </c>
      <c r="C1871" s="68">
        <v>20</v>
      </c>
    </row>
    <row r="1872" spans="1:3" x14ac:dyDescent="0.55000000000000004">
      <c r="A1872" s="68">
        <v>861</v>
      </c>
      <c r="C1872" s="68">
        <v>20</v>
      </c>
    </row>
    <row r="1873" spans="1:3" x14ac:dyDescent="0.55000000000000004">
      <c r="A1873" s="68">
        <v>861</v>
      </c>
      <c r="C1873" s="68">
        <v>20.399999999999999</v>
      </c>
    </row>
    <row r="1874" spans="1:3" x14ac:dyDescent="0.55000000000000004">
      <c r="A1874" s="68">
        <v>861</v>
      </c>
      <c r="C1874" s="68">
        <v>20.399999999999999</v>
      </c>
    </row>
    <row r="1875" spans="1:3" x14ac:dyDescent="0.55000000000000004">
      <c r="A1875" s="68">
        <v>861</v>
      </c>
      <c r="C1875" s="68">
        <v>20.81</v>
      </c>
    </row>
    <row r="1876" spans="1:3" x14ac:dyDescent="0.55000000000000004">
      <c r="A1876" s="68">
        <v>861</v>
      </c>
      <c r="C1876" s="68">
        <v>20.81</v>
      </c>
    </row>
    <row r="1877" spans="1:3" x14ac:dyDescent="0.55000000000000004">
      <c r="A1877" s="68">
        <v>861</v>
      </c>
      <c r="C1877" s="68">
        <v>20.81</v>
      </c>
    </row>
    <row r="1878" spans="1:3" x14ac:dyDescent="0.55000000000000004">
      <c r="A1878" s="68">
        <v>861</v>
      </c>
      <c r="C1878" s="68">
        <v>21.22</v>
      </c>
    </row>
    <row r="1879" spans="1:3" x14ac:dyDescent="0.55000000000000004">
      <c r="A1879" s="68">
        <v>861</v>
      </c>
      <c r="C1879" s="68">
        <v>21.22</v>
      </c>
    </row>
    <row r="1880" spans="1:3" x14ac:dyDescent="0.55000000000000004">
      <c r="A1880" s="68">
        <v>861</v>
      </c>
      <c r="C1880" s="68">
        <v>21.65</v>
      </c>
    </row>
    <row r="1881" spans="1:3" x14ac:dyDescent="0.55000000000000004">
      <c r="A1881" s="68">
        <v>861</v>
      </c>
      <c r="C1881" s="68">
        <v>22.08</v>
      </c>
    </row>
    <row r="1882" spans="1:3" x14ac:dyDescent="0.55000000000000004">
      <c r="A1882" s="68">
        <v>861</v>
      </c>
      <c r="C1882" s="68">
        <v>22.97</v>
      </c>
    </row>
    <row r="1883" spans="1:3" x14ac:dyDescent="0.55000000000000004">
      <c r="A1883" s="68">
        <v>861</v>
      </c>
      <c r="C1883" s="68">
        <v>22.97</v>
      </c>
    </row>
    <row r="1884" spans="1:3" x14ac:dyDescent="0.55000000000000004">
      <c r="A1884" s="68">
        <v>861</v>
      </c>
      <c r="C1884" s="68">
        <v>23</v>
      </c>
    </row>
    <row r="1885" spans="1:3" x14ac:dyDescent="0.55000000000000004">
      <c r="A1885" s="68">
        <v>861</v>
      </c>
      <c r="C1885" s="68">
        <v>23</v>
      </c>
    </row>
    <row r="1886" spans="1:3" x14ac:dyDescent="0.55000000000000004">
      <c r="A1886" s="68">
        <v>861</v>
      </c>
      <c r="C1886" s="68">
        <v>23.9</v>
      </c>
    </row>
    <row r="1887" spans="1:3" x14ac:dyDescent="0.55000000000000004">
      <c r="A1887" s="68">
        <v>861</v>
      </c>
      <c r="C1887" s="68">
        <v>23.9</v>
      </c>
    </row>
    <row r="1888" spans="1:3" x14ac:dyDescent="0.55000000000000004">
      <c r="A1888" s="68">
        <v>861</v>
      </c>
      <c r="C1888" s="68">
        <v>24.38</v>
      </c>
    </row>
    <row r="1889" spans="1:3" x14ac:dyDescent="0.55000000000000004">
      <c r="A1889" s="68">
        <v>861</v>
      </c>
      <c r="C1889" s="68">
        <v>24.38</v>
      </c>
    </row>
    <row r="1890" spans="1:3" x14ac:dyDescent="0.55000000000000004">
      <c r="A1890" s="68">
        <v>861</v>
      </c>
      <c r="C1890" s="68">
        <v>24.38</v>
      </c>
    </row>
    <row r="1891" spans="1:3" x14ac:dyDescent="0.55000000000000004">
      <c r="A1891" s="68">
        <v>861</v>
      </c>
      <c r="C1891" s="68">
        <v>24.65</v>
      </c>
    </row>
    <row r="1892" spans="1:3" x14ac:dyDescent="0.55000000000000004">
      <c r="A1892" s="68">
        <v>861</v>
      </c>
      <c r="C1892" s="68">
        <v>24.87</v>
      </c>
    </row>
    <row r="1893" spans="1:3" x14ac:dyDescent="0.55000000000000004">
      <c r="A1893" s="68">
        <v>861</v>
      </c>
      <c r="C1893" s="68">
        <v>24.87</v>
      </c>
    </row>
    <row r="1894" spans="1:3" x14ac:dyDescent="0.55000000000000004">
      <c r="A1894" s="68">
        <v>861</v>
      </c>
      <c r="C1894" s="68">
        <v>24.87</v>
      </c>
    </row>
    <row r="1895" spans="1:3" x14ac:dyDescent="0.55000000000000004">
      <c r="A1895" s="68">
        <v>861</v>
      </c>
      <c r="C1895" s="68">
        <v>24.87</v>
      </c>
    </row>
    <row r="1896" spans="1:3" x14ac:dyDescent="0.55000000000000004">
      <c r="A1896" s="68">
        <v>861</v>
      </c>
      <c r="C1896" s="68">
        <v>24.87</v>
      </c>
    </row>
    <row r="1897" spans="1:3" x14ac:dyDescent="0.55000000000000004">
      <c r="A1897" s="68">
        <v>861</v>
      </c>
      <c r="C1897" s="68">
        <v>25</v>
      </c>
    </row>
    <row r="1898" spans="1:3" x14ac:dyDescent="0.55000000000000004">
      <c r="A1898" s="68">
        <v>861</v>
      </c>
      <c r="C1898" s="68">
        <v>25</v>
      </c>
    </row>
    <row r="1899" spans="1:3" x14ac:dyDescent="0.55000000000000004">
      <c r="A1899" s="68">
        <v>861</v>
      </c>
      <c r="C1899" s="68">
        <v>25</v>
      </c>
    </row>
    <row r="1900" spans="1:3" x14ac:dyDescent="0.55000000000000004">
      <c r="A1900" s="68">
        <v>861</v>
      </c>
      <c r="C1900" s="68">
        <v>25</v>
      </c>
    </row>
    <row r="1901" spans="1:3" x14ac:dyDescent="0.55000000000000004">
      <c r="A1901" s="68">
        <v>861</v>
      </c>
      <c r="C1901" s="68">
        <v>25</v>
      </c>
    </row>
    <row r="1902" spans="1:3" x14ac:dyDescent="0.55000000000000004">
      <c r="A1902" s="68">
        <v>861</v>
      </c>
      <c r="C1902" s="68">
        <v>25</v>
      </c>
    </row>
    <row r="1903" spans="1:3" x14ac:dyDescent="0.55000000000000004">
      <c r="A1903" s="68">
        <v>861</v>
      </c>
      <c r="C1903" s="68">
        <v>25</v>
      </c>
    </row>
    <row r="1904" spans="1:3" x14ac:dyDescent="0.55000000000000004">
      <c r="A1904" s="68">
        <v>861</v>
      </c>
      <c r="C1904" s="68">
        <v>25</v>
      </c>
    </row>
    <row r="1905" spans="1:3" x14ac:dyDescent="0.55000000000000004">
      <c r="A1905" s="68">
        <v>861</v>
      </c>
      <c r="C1905" s="68">
        <v>25</v>
      </c>
    </row>
    <row r="1906" spans="1:3" x14ac:dyDescent="0.55000000000000004">
      <c r="A1906" s="68">
        <v>861</v>
      </c>
      <c r="C1906" s="68">
        <v>25</v>
      </c>
    </row>
    <row r="1907" spans="1:3" x14ac:dyDescent="0.55000000000000004">
      <c r="A1907" s="68">
        <v>861</v>
      </c>
      <c r="C1907" s="68">
        <v>25</v>
      </c>
    </row>
    <row r="1908" spans="1:3" x14ac:dyDescent="0.55000000000000004">
      <c r="A1908" s="68">
        <v>861</v>
      </c>
      <c r="C1908" s="68">
        <v>25</v>
      </c>
    </row>
    <row r="1909" spans="1:3" x14ac:dyDescent="0.55000000000000004">
      <c r="A1909" s="68">
        <v>861</v>
      </c>
      <c r="C1909" s="68">
        <v>25</v>
      </c>
    </row>
    <row r="1910" spans="1:3" x14ac:dyDescent="0.55000000000000004">
      <c r="A1910" s="68">
        <v>861</v>
      </c>
      <c r="C1910" s="68">
        <v>25</v>
      </c>
    </row>
    <row r="1911" spans="1:3" x14ac:dyDescent="0.55000000000000004">
      <c r="A1911" s="68">
        <v>861</v>
      </c>
      <c r="C1911" s="68">
        <v>25</v>
      </c>
    </row>
    <row r="1912" spans="1:3" x14ac:dyDescent="0.55000000000000004">
      <c r="A1912" s="68">
        <v>861</v>
      </c>
      <c r="C1912" s="68">
        <v>25</v>
      </c>
    </row>
    <row r="1913" spans="1:3" x14ac:dyDescent="0.55000000000000004">
      <c r="A1913" s="68">
        <v>861</v>
      </c>
      <c r="C1913" s="68">
        <v>25</v>
      </c>
    </row>
    <row r="1914" spans="1:3" x14ac:dyDescent="0.55000000000000004">
      <c r="A1914" s="68">
        <v>861</v>
      </c>
      <c r="C1914" s="68">
        <v>25</v>
      </c>
    </row>
    <row r="1915" spans="1:3" x14ac:dyDescent="0.55000000000000004">
      <c r="A1915" s="68">
        <v>861</v>
      </c>
      <c r="C1915" s="68">
        <v>25</v>
      </c>
    </row>
    <row r="1916" spans="1:3" x14ac:dyDescent="0.55000000000000004">
      <c r="A1916" s="68">
        <v>861</v>
      </c>
      <c r="C1916" s="68">
        <v>25</v>
      </c>
    </row>
    <row r="1917" spans="1:3" x14ac:dyDescent="0.55000000000000004">
      <c r="A1917" s="68">
        <v>861</v>
      </c>
      <c r="C1917" s="68">
        <v>25</v>
      </c>
    </row>
    <row r="1918" spans="1:3" x14ac:dyDescent="0.55000000000000004">
      <c r="A1918" s="68">
        <v>861</v>
      </c>
      <c r="C1918" s="68">
        <v>26</v>
      </c>
    </row>
    <row r="1919" spans="1:3" x14ac:dyDescent="0.55000000000000004">
      <c r="A1919" s="68">
        <v>861</v>
      </c>
      <c r="C1919" s="68">
        <v>27.87</v>
      </c>
    </row>
    <row r="1920" spans="1:3" x14ac:dyDescent="0.55000000000000004">
      <c r="A1920" s="68">
        <v>861</v>
      </c>
      <c r="C1920" s="68">
        <v>27.87</v>
      </c>
    </row>
    <row r="1921" spans="1:3" x14ac:dyDescent="0.55000000000000004">
      <c r="A1921" s="68">
        <v>861</v>
      </c>
      <c r="C1921" s="68">
        <v>27.87</v>
      </c>
    </row>
    <row r="1922" spans="1:3" x14ac:dyDescent="0.55000000000000004">
      <c r="A1922" s="68">
        <v>861</v>
      </c>
      <c r="C1922" s="68">
        <v>28</v>
      </c>
    </row>
    <row r="1923" spans="1:3" x14ac:dyDescent="0.55000000000000004">
      <c r="A1923" s="68">
        <v>114</v>
      </c>
      <c r="C1923" s="68">
        <v>18.0202243010289</v>
      </c>
    </row>
    <row r="1924" spans="1:3" x14ac:dyDescent="0.55000000000000004">
      <c r="A1924" s="68">
        <v>114</v>
      </c>
      <c r="C1924" s="68">
        <v>17.720038247205796</v>
      </c>
    </row>
    <row r="1925" spans="1:3" x14ac:dyDescent="0.55000000000000004">
      <c r="A1925" s="68">
        <v>114</v>
      </c>
      <c r="C1925" s="68">
        <v>17.714975440173923</v>
      </c>
    </row>
    <row r="1926" spans="1:3" x14ac:dyDescent="0.55000000000000004">
      <c r="A1926" s="68">
        <v>114</v>
      </c>
      <c r="C1926" s="68">
        <v>23.870080780662981</v>
      </c>
    </row>
    <row r="1927" spans="1:3" x14ac:dyDescent="0.55000000000000004">
      <c r="A1927" s="68">
        <v>114</v>
      </c>
      <c r="C1927" s="68">
        <v>18.990000000000006</v>
      </c>
    </row>
    <row r="1928" spans="1:3" x14ac:dyDescent="0.55000000000000004">
      <c r="A1928" s="68">
        <v>114</v>
      </c>
      <c r="C1928" s="68">
        <v>17.720000000000017</v>
      </c>
    </row>
    <row r="1929" spans="1:3" x14ac:dyDescent="0.55000000000000004">
      <c r="A1929" s="68">
        <v>114</v>
      </c>
      <c r="C1929" s="68">
        <v>19.339986987229416</v>
      </c>
    </row>
    <row r="1930" spans="1:3" x14ac:dyDescent="0.55000000000000004">
      <c r="A1930" s="68">
        <v>114</v>
      </c>
      <c r="C1930" s="68">
        <v>22.290028681501909</v>
      </c>
    </row>
    <row r="1931" spans="1:3" x14ac:dyDescent="0.55000000000000004">
      <c r="A1931" s="68">
        <v>114</v>
      </c>
      <c r="C1931" s="68">
        <v>21.649995304635276</v>
      </c>
    </row>
    <row r="1932" spans="1:3" x14ac:dyDescent="0.55000000000000004">
      <c r="A1932" s="68">
        <v>114</v>
      </c>
      <c r="C1932" s="68">
        <v>20.030176052487683</v>
      </c>
    </row>
    <row r="1933" spans="1:3" x14ac:dyDescent="0.55000000000000004">
      <c r="A1933" s="68">
        <v>114</v>
      </c>
      <c r="C1933" s="68">
        <v>20.391354446119841</v>
      </c>
    </row>
    <row r="1934" spans="1:3" x14ac:dyDescent="0.55000000000000004">
      <c r="A1934" s="68">
        <v>114</v>
      </c>
      <c r="C1934" s="68">
        <v>18.339999999999975</v>
      </c>
    </row>
    <row r="1935" spans="1:3" x14ac:dyDescent="0.55000000000000004">
      <c r="A1935" s="68">
        <v>114</v>
      </c>
      <c r="C1935" s="68">
        <v>20.389991100645368</v>
      </c>
    </row>
    <row r="1936" spans="1:3" x14ac:dyDescent="0.55000000000000004">
      <c r="A1936" s="68">
        <v>510</v>
      </c>
      <c r="C1936" s="68">
        <v>17.059999999999999</v>
      </c>
    </row>
    <row r="1937" spans="1:3" x14ac:dyDescent="0.55000000000000004">
      <c r="A1937" s="68">
        <v>510</v>
      </c>
      <c r="C1937" s="68">
        <v>17.059999999999999</v>
      </c>
    </row>
    <row r="1938" spans="1:3" x14ac:dyDescent="0.55000000000000004">
      <c r="A1938" s="68">
        <v>510</v>
      </c>
      <c r="C1938" s="68">
        <v>17.059999999999999</v>
      </c>
    </row>
    <row r="1939" spans="1:3" x14ac:dyDescent="0.55000000000000004">
      <c r="A1939" s="68">
        <v>510</v>
      </c>
      <c r="C1939" s="68">
        <v>17.059999999999999</v>
      </c>
    </row>
    <row r="1940" spans="1:3" x14ac:dyDescent="0.55000000000000004">
      <c r="A1940" s="68">
        <v>510</v>
      </c>
      <c r="C1940" s="68">
        <v>17.059999999999999</v>
      </c>
    </row>
    <row r="1941" spans="1:3" x14ac:dyDescent="0.55000000000000004">
      <c r="A1941" s="68">
        <v>510</v>
      </c>
      <c r="C1941" s="68">
        <v>17.059999999999999</v>
      </c>
    </row>
    <row r="1942" spans="1:3" x14ac:dyDescent="0.55000000000000004">
      <c r="A1942" s="68">
        <v>510</v>
      </c>
      <c r="C1942" s="68">
        <v>17.059999999999999</v>
      </c>
    </row>
    <row r="1943" spans="1:3" x14ac:dyDescent="0.55000000000000004">
      <c r="A1943" s="68">
        <v>510</v>
      </c>
      <c r="C1943" s="68">
        <v>17.190000000000001</v>
      </c>
    </row>
    <row r="1944" spans="1:3" x14ac:dyDescent="0.55000000000000004">
      <c r="A1944" s="68">
        <v>510</v>
      </c>
      <c r="C1944" s="68">
        <v>17.190000000000001</v>
      </c>
    </row>
    <row r="1945" spans="1:3" x14ac:dyDescent="0.55000000000000004">
      <c r="A1945" s="68">
        <v>510</v>
      </c>
      <c r="C1945" s="68">
        <v>17.190000000000001</v>
      </c>
    </row>
    <row r="1946" spans="1:3" x14ac:dyDescent="0.55000000000000004">
      <c r="A1946" s="68">
        <v>510</v>
      </c>
      <c r="C1946" s="68">
        <v>17.190000000000001</v>
      </c>
    </row>
    <row r="1947" spans="1:3" x14ac:dyDescent="0.55000000000000004">
      <c r="A1947" s="68">
        <v>510</v>
      </c>
      <c r="C1947" s="68">
        <v>17.190000000000001</v>
      </c>
    </row>
    <row r="1948" spans="1:3" x14ac:dyDescent="0.55000000000000004">
      <c r="A1948" s="68">
        <v>510</v>
      </c>
      <c r="C1948" s="68">
        <v>17.190000000000001</v>
      </c>
    </row>
    <row r="1949" spans="1:3" x14ac:dyDescent="0.55000000000000004">
      <c r="A1949" s="68">
        <v>510</v>
      </c>
      <c r="C1949" s="68">
        <v>17.190000000000001</v>
      </c>
    </row>
    <row r="1950" spans="1:3" x14ac:dyDescent="0.55000000000000004">
      <c r="A1950" s="68">
        <v>510</v>
      </c>
      <c r="C1950" s="68">
        <v>17.23</v>
      </c>
    </row>
    <row r="1951" spans="1:3" x14ac:dyDescent="0.55000000000000004">
      <c r="A1951" s="68">
        <v>510</v>
      </c>
      <c r="C1951" s="68">
        <v>17.579999999999998</v>
      </c>
    </row>
    <row r="1952" spans="1:3" x14ac:dyDescent="0.55000000000000004">
      <c r="A1952" s="68">
        <v>510</v>
      </c>
      <c r="C1952" s="68">
        <v>17.71</v>
      </c>
    </row>
    <row r="1953" spans="1:3" x14ac:dyDescent="0.55000000000000004">
      <c r="A1953" s="68">
        <v>510</v>
      </c>
      <c r="C1953" s="68">
        <v>17.73</v>
      </c>
    </row>
    <row r="1954" spans="1:3" x14ac:dyDescent="0.55000000000000004">
      <c r="A1954" s="68">
        <v>510</v>
      </c>
      <c r="C1954" s="68">
        <v>17.88</v>
      </c>
    </row>
    <row r="1955" spans="1:3" x14ac:dyDescent="0.55000000000000004">
      <c r="A1955" s="68">
        <v>510</v>
      </c>
      <c r="C1955" s="68">
        <v>18.38</v>
      </c>
    </row>
    <row r="1956" spans="1:3" x14ac:dyDescent="0.55000000000000004">
      <c r="A1956" s="68">
        <v>510</v>
      </c>
      <c r="C1956" s="68">
        <v>18.649999999999999</v>
      </c>
    </row>
    <row r="1957" spans="1:3" x14ac:dyDescent="0.55000000000000004">
      <c r="A1957" s="68">
        <v>510</v>
      </c>
      <c r="C1957" s="68">
        <v>18.77</v>
      </c>
    </row>
    <row r="1958" spans="1:3" x14ac:dyDescent="0.55000000000000004">
      <c r="A1958" s="68">
        <v>510</v>
      </c>
      <c r="C1958" s="68">
        <v>18.940000000000001</v>
      </c>
    </row>
    <row r="1959" spans="1:3" x14ac:dyDescent="0.55000000000000004">
      <c r="A1959" s="68">
        <v>510</v>
      </c>
      <c r="C1959" s="68">
        <v>19.04</v>
      </c>
    </row>
    <row r="1960" spans="1:3" x14ac:dyDescent="0.55000000000000004">
      <c r="A1960" s="68">
        <v>510</v>
      </c>
      <c r="C1960" s="68">
        <v>19.22</v>
      </c>
    </row>
    <row r="1961" spans="1:3" x14ac:dyDescent="0.55000000000000004">
      <c r="A1961" s="68">
        <v>510</v>
      </c>
      <c r="C1961" s="68">
        <v>19.39</v>
      </c>
    </row>
    <row r="1962" spans="1:3" x14ac:dyDescent="0.55000000000000004">
      <c r="A1962" s="68">
        <v>510</v>
      </c>
      <c r="C1962" s="68">
        <v>19.45</v>
      </c>
    </row>
    <row r="1963" spans="1:3" x14ac:dyDescent="0.55000000000000004">
      <c r="A1963" s="68">
        <v>510</v>
      </c>
      <c r="C1963" s="68">
        <v>19.71</v>
      </c>
    </row>
    <row r="1964" spans="1:3" x14ac:dyDescent="0.55000000000000004">
      <c r="A1964" s="68">
        <v>510</v>
      </c>
      <c r="C1964" s="68">
        <v>19.88</v>
      </c>
    </row>
    <row r="1965" spans="1:3" x14ac:dyDescent="0.55000000000000004">
      <c r="A1965" s="68">
        <v>510</v>
      </c>
      <c r="C1965" s="68">
        <v>20.27</v>
      </c>
    </row>
    <row r="1966" spans="1:3" x14ac:dyDescent="0.55000000000000004">
      <c r="A1966" s="68">
        <v>510</v>
      </c>
      <c r="C1966" s="68">
        <v>20.27</v>
      </c>
    </row>
    <row r="1967" spans="1:3" x14ac:dyDescent="0.55000000000000004">
      <c r="A1967" s="68">
        <v>510</v>
      </c>
      <c r="C1967" s="68">
        <v>20.29</v>
      </c>
    </row>
    <row r="1968" spans="1:3" x14ac:dyDescent="0.55000000000000004">
      <c r="A1968" s="68">
        <v>510</v>
      </c>
      <c r="C1968" s="68">
        <v>20.29</v>
      </c>
    </row>
    <row r="1969" spans="1:3" x14ac:dyDescent="0.55000000000000004">
      <c r="A1969" s="68">
        <v>510</v>
      </c>
      <c r="C1969" s="68">
        <v>20.41</v>
      </c>
    </row>
    <row r="1970" spans="1:3" x14ac:dyDescent="0.55000000000000004">
      <c r="A1970" s="68">
        <v>510</v>
      </c>
      <c r="C1970" s="68">
        <v>20.47</v>
      </c>
    </row>
    <row r="1971" spans="1:3" x14ac:dyDescent="0.55000000000000004">
      <c r="A1971" s="68">
        <v>510</v>
      </c>
      <c r="C1971" s="68">
        <v>20.55</v>
      </c>
    </row>
    <row r="1972" spans="1:3" x14ac:dyDescent="0.55000000000000004">
      <c r="A1972" s="68">
        <v>510</v>
      </c>
      <c r="C1972" s="68">
        <v>20.57</v>
      </c>
    </row>
    <row r="1973" spans="1:3" x14ac:dyDescent="0.55000000000000004">
      <c r="A1973" s="68">
        <v>510</v>
      </c>
      <c r="C1973" s="68">
        <v>20.92</v>
      </c>
    </row>
    <row r="1974" spans="1:3" x14ac:dyDescent="0.55000000000000004">
      <c r="A1974" s="68">
        <v>510</v>
      </c>
      <c r="C1974" s="68">
        <v>22.2</v>
      </c>
    </row>
    <row r="1975" spans="1:3" x14ac:dyDescent="0.55000000000000004">
      <c r="A1975" s="68">
        <v>510</v>
      </c>
      <c r="C1975" s="68">
        <v>22.37</v>
      </c>
    </row>
    <row r="1976" spans="1:3" x14ac:dyDescent="0.55000000000000004">
      <c r="A1976" s="68">
        <v>510</v>
      </c>
      <c r="C1976" s="68">
        <v>22.37</v>
      </c>
    </row>
    <row r="1977" spans="1:3" x14ac:dyDescent="0.55000000000000004">
      <c r="A1977" s="68">
        <v>510</v>
      </c>
      <c r="C1977" s="68">
        <v>22.37</v>
      </c>
    </row>
    <row r="1978" spans="1:3" x14ac:dyDescent="0.55000000000000004">
      <c r="A1978" s="68">
        <v>959</v>
      </c>
      <c r="C1978" s="68">
        <v>23</v>
      </c>
    </row>
    <row r="1979" spans="1:3" x14ac:dyDescent="0.55000000000000004">
      <c r="A1979" s="68">
        <v>959</v>
      </c>
      <c r="C1979" s="68">
        <v>19.25</v>
      </c>
    </row>
    <row r="1980" spans="1:3" x14ac:dyDescent="0.55000000000000004">
      <c r="A1980" s="68">
        <v>959</v>
      </c>
      <c r="C1980" s="68">
        <v>19.25</v>
      </c>
    </row>
    <row r="1981" spans="1:3" x14ac:dyDescent="0.55000000000000004">
      <c r="A1981" s="68">
        <v>959</v>
      </c>
      <c r="C1981" s="68">
        <v>25.34</v>
      </c>
    </row>
    <row r="1982" spans="1:3" x14ac:dyDescent="0.55000000000000004">
      <c r="A1982" s="68">
        <v>959</v>
      </c>
      <c r="C1982" s="68">
        <v>19.25</v>
      </c>
    </row>
    <row r="1983" spans="1:3" x14ac:dyDescent="0.55000000000000004">
      <c r="A1983" s="68">
        <v>959</v>
      </c>
      <c r="C1983" s="68">
        <v>27.12</v>
      </c>
    </row>
    <row r="1984" spans="1:3" x14ac:dyDescent="0.55000000000000004">
      <c r="A1984" s="68">
        <v>959</v>
      </c>
      <c r="C1984" s="68">
        <v>26</v>
      </c>
    </row>
    <row r="1985" spans="1:3" x14ac:dyDescent="0.55000000000000004">
      <c r="A1985" s="68">
        <v>959</v>
      </c>
      <c r="C1985" s="68">
        <v>28</v>
      </c>
    </row>
    <row r="1986" spans="1:3" x14ac:dyDescent="0.55000000000000004">
      <c r="A1986" s="68">
        <v>959</v>
      </c>
      <c r="C1986" s="68">
        <v>19.25</v>
      </c>
    </row>
    <row r="1987" spans="1:3" x14ac:dyDescent="0.55000000000000004">
      <c r="A1987" s="68">
        <v>959</v>
      </c>
      <c r="C1987" s="68">
        <v>22</v>
      </c>
    </row>
    <row r="1988" spans="1:3" x14ac:dyDescent="0.55000000000000004">
      <c r="A1988" s="68">
        <v>959</v>
      </c>
      <c r="C1988" s="68">
        <v>23</v>
      </c>
    </row>
    <row r="1989" spans="1:3" x14ac:dyDescent="0.55000000000000004">
      <c r="A1989" s="68">
        <v>959</v>
      </c>
      <c r="C1989" s="68">
        <v>19.25</v>
      </c>
    </row>
    <row r="1990" spans="1:3" x14ac:dyDescent="0.55000000000000004">
      <c r="A1990" s="68">
        <v>959</v>
      </c>
      <c r="C1990" s="68">
        <v>21</v>
      </c>
    </row>
    <row r="1991" spans="1:3" x14ac:dyDescent="0.55000000000000004">
      <c r="A1991" s="68">
        <v>959</v>
      </c>
      <c r="C1991" s="68">
        <v>25</v>
      </c>
    </row>
    <row r="1992" spans="1:3" x14ac:dyDescent="0.55000000000000004">
      <c r="A1992" s="68">
        <v>959</v>
      </c>
      <c r="C1992" s="68">
        <v>19.25</v>
      </c>
    </row>
    <row r="1993" spans="1:3" x14ac:dyDescent="0.55000000000000004">
      <c r="A1993" s="68">
        <v>959</v>
      </c>
      <c r="C1993" s="68">
        <v>25</v>
      </c>
    </row>
    <row r="1994" spans="1:3" x14ac:dyDescent="0.55000000000000004">
      <c r="A1994" s="68">
        <v>959</v>
      </c>
      <c r="C1994" s="68">
        <v>21</v>
      </c>
    </row>
    <row r="1995" spans="1:3" x14ac:dyDescent="0.55000000000000004">
      <c r="A1995" s="68">
        <v>959</v>
      </c>
      <c r="C1995" s="68">
        <v>24</v>
      </c>
    </row>
    <row r="1996" spans="1:3" x14ac:dyDescent="0.55000000000000004">
      <c r="A1996" s="68">
        <v>959</v>
      </c>
      <c r="C1996" s="68">
        <v>25.34</v>
      </c>
    </row>
    <row r="1997" spans="1:3" x14ac:dyDescent="0.55000000000000004">
      <c r="A1997" s="68">
        <v>959</v>
      </c>
      <c r="C1997" s="68">
        <v>20.37</v>
      </c>
    </row>
    <row r="1998" spans="1:3" x14ac:dyDescent="0.55000000000000004">
      <c r="A1998" s="68">
        <v>959</v>
      </c>
      <c r="C1998" s="68">
        <v>22</v>
      </c>
    </row>
    <row r="1999" spans="1:3" x14ac:dyDescent="0.55000000000000004">
      <c r="A1999" s="68">
        <v>959</v>
      </c>
      <c r="C1999" s="68">
        <v>24.66</v>
      </c>
    </row>
    <row r="2000" spans="1:3" x14ac:dyDescent="0.55000000000000004">
      <c r="A2000" s="68">
        <v>959</v>
      </c>
      <c r="C2000" s="68">
        <v>28.59</v>
      </c>
    </row>
    <row r="2001" spans="1:3" x14ac:dyDescent="0.55000000000000004">
      <c r="A2001" s="68">
        <v>959</v>
      </c>
      <c r="C2001" s="68">
        <v>22.7</v>
      </c>
    </row>
    <row r="2002" spans="1:3" x14ac:dyDescent="0.55000000000000004">
      <c r="A2002" s="68">
        <v>959</v>
      </c>
      <c r="C2002" s="68">
        <v>19.25</v>
      </c>
    </row>
    <row r="2003" spans="1:3" x14ac:dyDescent="0.55000000000000004">
      <c r="A2003" s="68">
        <v>959</v>
      </c>
      <c r="C2003" s="68">
        <v>27.88</v>
      </c>
    </row>
    <row r="2004" spans="1:3" x14ac:dyDescent="0.55000000000000004">
      <c r="A2004" s="68">
        <v>959</v>
      </c>
      <c r="C2004" s="68">
        <v>28.59</v>
      </c>
    </row>
    <row r="2005" spans="1:3" x14ac:dyDescent="0.55000000000000004">
      <c r="A2005" s="68">
        <v>959</v>
      </c>
      <c r="C2005" s="68">
        <v>24</v>
      </c>
    </row>
    <row r="2006" spans="1:3" x14ac:dyDescent="0.55000000000000004">
      <c r="A2006" s="68">
        <v>380</v>
      </c>
      <c r="C2006" s="68">
        <v>24.99</v>
      </c>
    </row>
    <row r="2007" spans="1:3" x14ac:dyDescent="0.55000000000000004">
      <c r="A2007" s="68">
        <v>380</v>
      </c>
      <c r="C2007" s="68">
        <v>24.99</v>
      </c>
    </row>
    <row r="2008" spans="1:3" x14ac:dyDescent="0.55000000000000004">
      <c r="A2008" s="68">
        <v>380</v>
      </c>
      <c r="C2008" s="68">
        <v>23.08</v>
      </c>
    </row>
    <row r="2009" spans="1:3" x14ac:dyDescent="0.55000000000000004">
      <c r="A2009" s="68">
        <v>380</v>
      </c>
      <c r="C2009" s="68">
        <v>23.28</v>
      </c>
    </row>
    <row r="2010" spans="1:3" x14ac:dyDescent="0.55000000000000004">
      <c r="A2010" s="68">
        <v>380</v>
      </c>
      <c r="C2010" s="68">
        <v>23.92</v>
      </c>
    </row>
    <row r="2011" spans="1:3" x14ac:dyDescent="0.55000000000000004">
      <c r="A2011" s="68">
        <v>380</v>
      </c>
      <c r="C2011" s="68">
        <v>24.17</v>
      </c>
    </row>
    <row r="2012" spans="1:3" x14ac:dyDescent="0.55000000000000004">
      <c r="A2012" s="68">
        <v>380</v>
      </c>
      <c r="C2012" s="68">
        <v>24.99</v>
      </c>
    </row>
    <row r="2013" spans="1:3" x14ac:dyDescent="0.55000000000000004">
      <c r="A2013" s="68">
        <v>380</v>
      </c>
      <c r="C2013" s="68">
        <v>24.99</v>
      </c>
    </row>
    <row r="2014" spans="1:3" x14ac:dyDescent="0.55000000000000004">
      <c r="A2014" s="68">
        <v>380</v>
      </c>
      <c r="C2014" s="68">
        <v>24.99</v>
      </c>
    </row>
    <row r="2015" spans="1:3" x14ac:dyDescent="0.55000000000000004">
      <c r="A2015" s="68">
        <v>380</v>
      </c>
      <c r="C2015" s="68">
        <v>24.99</v>
      </c>
    </row>
    <row r="2016" spans="1:3" x14ac:dyDescent="0.55000000000000004">
      <c r="A2016" s="68">
        <v>380</v>
      </c>
      <c r="C2016" s="68">
        <v>24.99</v>
      </c>
    </row>
    <row r="2017" spans="1:3" x14ac:dyDescent="0.55000000000000004">
      <c r="A2017" s="68">
        <v>380</v>
      </c>
      <c r="C2017" s="68">
        <v>24.99</v>
      </c>
    </row>
    <row r="2018" spans="1:3" x14ac:dyDescent="0.55000000000000004">
      <c r="A2018" s="68">
        <v>380</v>
      </c>
      <c r="C2018" s="68">
        <v>24.99</v>
      </c>
    </row>
    <row r="2019" spans="1:3" x14ac:dyDescent="0.55000000000000004">
      <c r="A2019" s="68">
        <v>380</v>
      </c>
      <c r="C2019" s="68">
        <v>24.99</v>
      </c>
    </row>
    <row r="2020" spans="1:3" x14ac:dyDescent="0.55000000000000004">
      <c r="A2020" s="68">
        <v>380</v>
      </c>
      <c r="C2020" s="68">
        <v>24.99</v>
      </c>
    </row>
    <row r="2021" spans="1:3" x14ac:dyDescent="0.55000000000000004">
      <c r="A2021" s="68">
        <v>380</v>
      </c>
      <c r="C2021" s="68">
        <v>24.99</v>
      </c>
    </row>
    <row r="2022" spans="1:3" x14ac:dyDescent="0.55000000000000004">
      <c r="A2022" s="68">
        <v>380</v>
      </c>
      <c r="C2022" s="68">
        <v>25</v>
      </c>
    </row>
    <row r="2023" spans="1:3" x14ac:dyDescent="0.55000000000000004">
      <c r="A2023" s="68">
        <v>380</v>
      </c>
      <c r="C2023" s="68">
        <v>24.99</v>
      </c>
    </row>
    <row r="2024" spans="1:3" x14ac:dyDescent="0.55000000000000004">
      <c r="A2024" s="68">
        <v>380</v>
      </c>
      <c r="C2024" s="68">
        <v>24.99</v>
      </c>
    </row>
    <row r="2025" spans="1:3" x14ac:dyDescent="0.55000000000000004">
      <c r="A2025" s="68">
        <v>380</v>
      </c>
      <c r="C2025" s="68">
        <v>24.99</v>
      </c>
    </row>
    <row r="2026" spans="1:3" x14ac:dyDescent="0.55000000000000004">
      <c r="A2026" s="68">
        <v>380</v>
      </c>
      <c r="C2026" s="68">
        <v>21.84</v>
      </c>
    </row>
    <row r="2027" spans="1:3" x14ac:dyDescent="0.55000000000000004">
      <c r="A2027" s="68">
        <v>380</v>
      </c>
      <c r="C2027" s="68">
        <v>23.42</v>
      </c>
    </row>
    <row r="2028" spans="1:3" x14ac:dyDescent="0.55000000000000004">
      <c r="A2028" s="68">
        <v>380</v>
      </c>
      <c r="C2028" s="68">
        <v>22.92</v>
      </c>
    </row>
    <row r="2029" spans="1:3" x14ac:dyDescent="0.55000000000000004">
      <c r="A2029" s="68">
        <v>380</v>
      </c>
      <c r="C2029" s="68">
        <v>20.170000000000002</v>
      </c>
    </row>
    <row r="2030" spans="1:3" x14ac:dyDescent="0.55000000000000004">
      <c r="A2030" s="68">
        <v>380</v>
      </c>
      <c r="C2030" s="68">
        <v>22.2</v>
      </c>
    </row>
    <row r="2031" spans="1:3" x14ac:dyDescent="0.55000000000000004">
      <c r="A2031" s="68">
        <v>380</v>
      </c>
      <c r="C2031" s="68">
        <v>24.99</v>
      </c>
    </row>
    <row r="2032" spans="1:3" x14ac:dyDescent="0.55000000000000004">
      <c r="A2032" s="68">
        <v>380</v>
      </c>
      <c r="C2032" s="68">
        <v>23.28</v>
      </c>
    </row>
    <row r="2033" spans="1:3" x14ac:dyDescent="0.55000000000000004">
      <c r="A2033" s="68">
        <v>380</v>
      </c>
      <c r="C2033" s="68">
        <v>20.07</v>
      </c>
    </row>
    <row r="2034" spans="1:3" x14ac:dyDescent="0.55000000000000004">
      <c r="A2034" s="68">
        <v>380</v>
      </c>
      <c r="C2034" s="68">
        <v>24.17</v>
      </c>
    </row>
    <row r="2035" spans="1:3" x14ac:dyDescent="0.55000000000000004">
      <c r="A2035" s="68">
        <v>380</v>
      </c>
      <c r="C2035" s="68">
        <v>24.99</v>
      </c>
    </row>
    <row r="2036" spans="1:3" x14ac:dyDescent="0.55000000000000004">
      <c r="A2036" s="68">
        <v>380</v>
      </c>
      <c r="C2036" s="68">
        <v>22.2</v>
      </c>
    </row>
    <row r="2037" spans="1:3" x14ac:dyDescent="0.55000000000000004">
      <c r="A2037" s="68">
        <v>380</v>
      </c>
      <c r="C2037" s="68">
        <v>22.92</v>
      </c>
    </row>
    <row r="2038" spans="1:3" x14ac:dyDescent="0.55000000000000004">
      <c r="A2038" s="68">
        <v>380</v>
      </c>
      <c r="C2038" s="68">
        <v>24.99</v>
      </c>
    </row>
    <row r="2039" spans="1:3" x14ac:dyDescent="0.55000000000000004">
      <c r="A2039" s="68">
        <v>380</v>
      </c>
      <c r="C2039" s="68">
        <v>24.99</v>
      </c>
    </row>
    <row r="2040" spans="1:3" x14ac:dyDescent="0.55000000000000004">
      <c r="A2040" s="68">
        <v>380</v>
      </c>
      <c r="C2040" s="68">
        <v>23.08</v>
      </c>
    </row>
    <row r="2041" spans="1:3" x14ac:dyDescent="0.55000000000000004">
      <c r="A2041" s="68">
        <v>380</v>
      </c>
      <c r="C2041" s="68">
        <v>24.99</v>
      </c>
    </row>
    <row r="2042" spans="1:3" x14ac:dyDescent="0.55000000000000004">
      <c r="A2042" s="68">
        <v>380</v>
      </c>
      <c r="C2042" s="68">
        <v>24.99</v>
      </c>
    </row>
    <row r="2043" spans="1:3" x14ac:dyDescent="0.55000000000000004">
      <c r="A2043" s="68">
        <v>380</v>
      </c>
      <c r="C2043" s="68">
        <v>24.99</v>
      </c>
    </row>
    <row r="2044" spans="1:3" x14ac:dyDescent="0.55000000000000004">
      <c r="A2044" s="68">
        <v>380</v>
      </c>
      <c r="C2044" s="68">
        <v>24.99</v>
      </c>
    </row>
    <row r="2045" spans="1:3" x14ac:dyDescent="0.55000000000000004">
      <c r="A2045" s="68">
        <v>380</v>
      </c>
      <c r="C2045" s="68">
        <v>22.2</v>
      </c>
    </row>
    <row r="2046" spans="1:3" x14ac:dyDescent="0.55000000000000004">
      <c r="A2046" s="68">
        <v>380</v>
      </c>
      <c r="C2046" s="68">
        <v>24.99</v>
      </c>
    </row>
    <row r="2047" spans="1:3" x14ac:dyDescent="0.55000000000000004">
      <c r="A2047" s="68">
        <v>380</v>
      </c>
      <c r="C2047" s="68">
        <v>24.99</v>
      </c>
    </row>
    <row r="2048" spans="1:3" x14ac:dyDescent="0.55000000000000004">
      <c r="A2048" s="68">
        <v>380</v>
      </c>
      <c r="C2048" s="68">
        <v>22.450000000000003</v>
      </c>
    </row>
    <row r="2049" spans="1:3" x14ac:dyDescent="0.55000000000000004">
      <c r="A2049" s="68">
        <v>380</v>
      </c>
      <c r="C2049" s="68">
        <v>24.99</v>
      </c>
    </row>
    <row r="2050" spans="1:3" x14ac:dyDescent="0.55000000000000004">
      <c r="A2050" s="68">
        <v>380</v>
      </c>
      <c r="C2050" s="68">
        <v>24.99</v>
      </c>
    </row>
    <row r="2051" spans="1:3" x14ac:dyDescent="0.55000000000000004">
      <c r="A2051" s="68">
        <v>380</v>
      </c>
      <c r="C2051" s="68">
        <v>23.08</v>
      </c>
    </row>
    <row r="2052" spans="1:3" x14ac:dyDescent="0.55000000000000004">
      <c r="A2052" s="68">
        <v>380</v>
      </c>
      <c r="C2052" s="68">
        <v>24.99</v>
      </c>
    </row>
    <row r="2053" spans="1:3" x14ac:dyDescent="0.55000000000000004">
      <c r="A2053" s="68">
        <v>380</v>
      </c>
      <c r="C2053" s="68">
        <v>23.42</v>
      </c>
    </row>
    <row r="2054" spans="1:3" x14ac:dyDescent="0.55000000000000004">
      <c r="A2054" s="68">
        <v>380</v>
      </c>
      <c r="C2054" s="68">
        <v>24.99</v>
      </c>
    </row>
    <row r="2055" spans="1:3" x14ac:dyDescent="0.55000000000000004">
      <c r="A2055" s="68">
        <v>380</v>
      </c>
      <c r="C2055" s="68">
        <v>23.08</v>
      </c>
    </row>
    <row r="2056" spans="1:3" x14ac:dyDescent="0.55000000000000004">
      <c r="A2056" s="68">
        <v>380</v>
      </c>
      <c r="C2056" s="68">
        <v>24.99</v>
      </c>
    </row>
    <row r="2057" spans="1:3" x14ac:dyDescent="0.55000000000000004">
      <c r="A2057" s="68">
        <v>380</v>
      </c>
      <c r="C2057" s="68">
        <v>23.92</v>
      </c>
    </row>
    <row r="2058" spans="1:3" x14ac:dyDescent="0.55000000000000004">
      <c r="A2058" s="68">
        <v>380</v>
      </c>
      <c r="C2058" s="68">
        <v>24.99</v>
      </c>
    </row>
    <row r="2059" spans="1:3" x14ac:dyDescent="0.55000000000000004">
      <c r="A2059" s="68">
        <v>380</v>
      </c>
      <c r="C2059" s="68">
        <v>25</v>
      </c>
    </row>
    <row r="2060" spans="1:3" x14ac:dyDescent="0.55000000000000004">
      <c r="A2060" s="68">
        <v>380</v>
      </c>
      <c r="C2060" s="68">
        <v>22.2</v>
      </c>
    </row>
    <row r="2061" spans="1:3" x14ac:dyDescent="0.55000000000000004">
      <c r="A2061" s="68">
        <v>380</v>
      </c>
      <c r="C2061" s="68">
        <v>24.99</v>
      </c>
    </row>
    <row r="2062" spans="1:3" x14ac:dyDescent="0.55000000000000004">
      <c r="A2062" s="68">
        <v>380</v>
      </c>
      <c r="C2062" s="68">
        <v>24.99</v>
      </c>
    </row>
    <row r="2063" spans="1:3" x14ac:dyDescent="0.55000000000000004">
      <c r="A2063" s="68">
        <v>380</v>
      </c>
      <c r="C2063" s="68">
        <v>24.99</v>
      </c>
    </row>
    <row r="2064" spans="1:3" x14ac:dyDescent="0.55000000000000004">
      <c r="A2064" s="68">
        <v>380</v>
      </c>
      <c r="C2064" s="68">
        <v>24.99</v>
      </c>
    </row>
    <row r="2065" spans="1:3" x14ac:dyDescent="0.55000000000000004">
      <c r="A2065" s="68">
        <v>380</v>
      </c>
      <c r="C2065" s="68">
        <v>24.99</v>
      </c>
    </row>
    <row r="2066" spans="1:3" x14ac:dyDescent="0.55000000000000004">
      <c r="A2066" s="68">
        <v>380</v>
      </c>
      <c r="C2066" s="68">
        <v>23.28</v>
      </c>
    </row>
    <row r="2067" spans="1:3" x14ac:dyDescent="0.55000000000000004">
      <c r="A2067" s="68">
        <v>380</v>
      </c>
      <c r="C2067" s="68">
        <v>24.99</v>
      </c>
    </row>
    <row r="2068" spans="1:3" x14ac:dyDescent="0.55000000000000004">
      <c r="A2068" s="68">
        <v>380</v>
      </c>
      <c r="C2068" s="68">
        <v>22.2</v>
      </c>
    </row>
    <row r="2069" spans="1:3" x14ac:dyDescent="0.55000000000000004">
      <c r="A2069" s="68">
        <v>380</v>
      </c>
      <c r="C2069" s="68">
        <v>24.99</v>
      </c>
    </row>
    <row r="2070" spans="1:3" x14ac:dyDescent="0.55000000000000004">
      <c r="A2070" s="68">
        <v>380</v>
      </c>
      <c r="C2070" s="68">
        <v>24.99</v>
      </c>
    </row>
    <row r="2071" spans="1:3" x14ac:dyDescent="0.55000000000000004">
      <c r="A2071" s="68">
        <v>380</v>
      </c>
      <c r="C2071" s="68">
        <v>23.28</v>
      </c>
    </row>
    <row r="2072" spans="1:3" x14ac:dyDescent="0.55000000000000004">
      <c r="A2072" s="68">
        <v>380</v>
      </c>
      <c r="C2072" s="68">
        <v>23.08</v>
      </c>
    </row>
    <row r="2073" spans="1:3" x14ac:dyDescent="0.55000000000000004">
      <c r="A2073" s="68">
        <v>380</v>
      </c>
      <c r="C2073" s="68">
        <v>24.99</v>
      </c>
    </row>
    <row r="2074" spans="1:3" x14ac:dyDescent="0.55000000000000004">
      <c r="A2074" s="68">
        <v>380</v>
      </c>
      <c r="C2074" s="68">
        <v>24.99</v>
      </c>
    </row>
    <row r="2075" spans="1:3" x14ac:dyDescent="0.55000000000000004">
      <c r="A2075" s="68">
        <v>380</v>
      </c>
      <c r="C2075" s="68">
        <v>23.42</v>
      </c>
    </row>
    <row r="2076" spans="1:3" x14ac:dyDescent="0.55000000000000004">
      <c r="A2076" s="68">
        <v>380</v>
      </c>
      <c r="C2076" s="68">
        <v>24.99</v>
      </c>
    </row>
    <row r="2077" spans="1:3" x14ac:dyDescent="0.55000000000000004">
      <c r="A2077" s="68">
        <v>380</v>
      </c>
      <c r="C2077" s="68">
        <v>24.99</v>
      </c>
    </row>
    <row r="2078" spans="1:3" x14ac:dyDescent="0.55000000000000004">
      <c r="A2078" s="68">
        <v>380</v>
      </c>
      <c r="C2078" s="68">
        <v>24.99</v>
      </c>
    </row>
    <row r="2079" spans="1:3" x14ac:dyDescent="0.55000000000000004">
      <c r="A2079" s="68">
        <v>380</v>
      </c>
      <c r="C2079" s="68">
        <v>23.7</v>
      </c>
    </row>
    <row r="2080" spans="1:3" x14ac:dyDescent="0.55000000000000004">
      <c r="A2080" s="68">
        <v>380</v>
      </c>
      <c r="C2080" s="68">
        <v>24.99</v>
      </c>
    </row>
    <row r="2081" spans="1:3" x14ac:dyDescent="0.55000000000000004">
      <c r="A2081" s="68">
        <v>380</v>
      </c>
      <c r="C2081" s="68">
        <v>24.99</v>
      </c>
    </row>
    <row r="2082" spans="1:3" x14ac:dyDescent="0.55000000000000004">
      <c r="A2082" s="68">
        <v>380</v>
      </c>
      <c r="C2082" s="68">
        <v>22.92</v>
      </c>
    </row>
    <row r="2083" spans="1:3" x14ac:dyDescent="0.55000000000000004">
      <c r="A2083" s="68">
        <v>380</v>
      </c>
      <c r="C2083" s="68">
        <v>22.2</v>
      </c>
    </row>
    <row r="2084" spans="1:3" x14ac:dyDescent="0.55000000000000004">
      <c r="A2084" s="68">
        <v>380</v>
      </c>
      <c r="C2084" s="68">
        <v>21.48</v>
      </c>
    </row>
    <row r="2085" spans="1:3" x14ac:dyDescent="0.55000000000000004">
      <c r="A2085" s="68">
        <v>380</v>
      </c>
      <c r="C2085" s="68">
        <v>24.99</v>
      </c>
    </row>
    <row r="2086" spans="1:3" x14ac:dyDescent="0.55000000000000004">
      <c r="A2086" s="68">
        <v>380</v>
      </c>
      <c r="C2086" s="68">
        <v>24.99</v>
      </c>
    </row>
    <row r="2087" spans="1:3" x14ac:dyDescent="0.55000000000000004">
      <c r="A2087" s="68">
        <v>380</v>
      </c>
      <c r="C2087" s="68">
        <v>24.99</v>
      </c>
    </row>
    <row r="2088" spans="1:3" x14ac:dyDescent="0.55000000000000004">
      <c r="A2088" s="68">
        <v>380</v>
      </c>
      <c r="C2088" s="68">
        <v>24.99</v>
      </c>
    </row>
    <row r="2089" spans="1:3" x14ac:dyDescent="0.55000000000000004">
      <c r="A2089" s="68">
        <v>380</v>
      </c>
      <c r="C2089" s="68">
        <v>23.7</v>
      </c>
    </row>
    <row r="2090" spans="1:3" x14ac:dyDescent="0.55000000000000004">
      <c r="A2090" s="68">
        <v>380</v>
      </c>
      <c r="C2090" s="68">
        <v>24.99</v>
      </c>
    </row>
    <row r="2091" spans="1:3" x14ac:dyDescent="0.55000000000000004">
      <c r="A2091" s="68">
        <v>380</v>
      </c>
      <c r="C2091" s="68">
        <v>24.99</v>
      </c>
    </row>
    <row r="2092" spans="1:3" x14ac:dyDescent="0.55000000000000004">
      <c r="A2092" s="68">
        <v>380</v>
      </c>
      <c r="C2092" s="68">
        <v>24.99</v>
      </c>
    </row>
    <row r="2093" spans="1:3" x14ac:dyDescent="0.55000000000000004">
      <c r="A2093" s="68">
        <v>380</v>
      </c>
      <c r="C2093" s="68">
        <v>24.99</v>
      </c>
    </row>
    <row r="2094" spans="1:3" x14ac:dyDescent="0.55000000000000004">
      <c r="A2094" s="68">
        <v>380</v>
      </c>
      <c r="C2094" s="68">
        <v>22.2</v>
      </c>
    </row>
    <row r="2095" spans="1:3" x14ac:dyDescent="0.55000000000000004">
      <c r="A2095" s="68">
        <v>380</v>
      </c>
      <c r="C2095" s="68">
        <v>24.99</v>
      </c>
    </row>
    <row r="2096" spans="1:3" x14ac:dyDescent="0.55000000000000004">
      <c r="A2096" s="68">
        <v>380</v>
      </c>
      <c r="C2096" s="68">
        <v>24.99</v>
      </c>
    </row>
    <row r="2097" spans="1:3" x14ac:dyDescent="0.55000000000000004">
      <c r="A2097" s="68">
        <v>380</v>
      </c>
      <c r="C2097" s="68">
        <v>21.84</v>
      </c>
    </row>
    <row r="2098" spans="1:3" x14ac:dyDescent="0.55000000000000004">
      <c r="A2098" s="68">
        <v>380</v>
      </c>
      <c r="C2098" s="68">
        <v>24.99</v>
      </c>
    </row>
    <row r="2099" spans="1:3" x14ac:dyDescent="0.55000000000000004">
      <c r="A2099" s="68">
        <v>380</v>
      </c>
      <c r="C2099" s="68">
        <v>24.99</v>
      </c>
    </row>
    <row r="2100" spans="1:3" x14ac:dyDescent="0.55000000000000004">
      <c r="A2100" s="68">
        <v>380</v>
      </c>
      <c r="C2100" s="68">
        <v>24.99</v>
      </c>
    </row>
    <row r="2101" spans="1:3" x14ac:dyDescent="0.55000000000000004">
      <c r="A2101" s="68">
        <v>380</v>
      </c>
      <c r="C2101" s="68">
        <v>24.17</v>
      </c>
    </row>
    <row r="2102" spans="1:3" x14ac:dyDescent="0.55000000000000004">
      <c r="A2102" s="68">
        <v>380</v>
      </c>
      <c r="C2102" s="68">
        <v>24.99</v>
      </c>
    </row>
    <row r="2103" spans="1:3" x14ac:dyDescent="0.55000000000000004">
      <c r="A2103" s="68">
        <v>380</v>
      </c>
      <c r="C2103" s="68">
        <v>24.99</v>
      </c>
    </row>
    <row r="2104" spans="1:3" x14ac:dyDescent="0.55000000000000004">
      <c r="A2104" s="68">
        <v>380</v>
      </c>
      <c r="C2104" s="68">
        <v>23.28</v>
      </c>
    </row>
    <row r="2105" spans="1:3" x14ac:dyDescent="0.55000000000000004">
      <c r="A2105" s="68">
        <v>380</v>
      </c>
      <c r="C2105" s="68">
        <v>24.99</v>
      </c>
    </row>
    <row r="2106" spans="1:3" x14ac:dyDescent="0.55000000000000004">
      <c r="A2106" s="68">
        <v>380</v>
      </c>
      <c r="C2106" s="68">
        <v>23.7</v>
      </c>
    </row>
    <row r="2107" spans="1:3" x14ac:dyDescent="0.55000000000000004">
      <c r="A2107" s="68">
        <v>380</v>
      </c>
      <c r="C2107" s="68">
        <v>24.99</v>
      </c>
    </row>
    <row r="2108" spans="1:3" x14ac:dyDescent="0.55000000000000004">
      <c r="A2108" s="68">
        <v>380</v>
      </c>
      <c r="C2108" s="68">
        <v>21.84</v>
      </c>
    </row>
    <row r="2109" spans="1:3" x14ac:dyDescent="0.55000000000000004">
      <c r="A2109" s="68">
        <v>380</v>
      </c>
      <c r="C2109" s="68">
        <v>24.17</v>
      </c>
    </row>
    <row r="2110" spans="1:3" x14ac:dyDescent="0.55000000000000004">
      <c r="A2110" s="68">
        <v>380</v>
      </c>
      <c r="C2110" s="68">
        <v>24.99</v>
      </c>
    </row>
    <row r="2111" spans="1:3" x14ac:dyDescent="0.55000000000000004">
      <c r="A2111" s="68">
        <v>318</v>
      </c>
      <c r="C2111" s="68">
        <v>20.5</v>
      </c>
    </row>
    <row r="2112" spans="1:3" x14ac:dyDescent="0.55000000000000004">
      <c r="A2112" s="68">
        <v>318</v>
      </c>
      <c r="C2112" s="68">
        <v>19.5</v>
      </c>
    </row>
    <row r="2113" spans="1:3" x14ac:dyDescent="0.55000000000000004">
      <c r="A2113" s="68">
        <v>318</v>
      </c>
      <c r="C2113" s="68">
        <v>19</v>
      </c>
    </row>
    <row r="2114" spans="1:3" x14ac:dyDescent="0.55000000000000004">
      <c r="A2114" s="68">
        <v>318</v>
      </c>
      <c r="C2114" s="68">
        <v>18.5</v>
      </c>
    </row>
    <row r="2115" spans="1:3" x14ac:dyDescent="0.55000000000000004">
      <c r="A2115" s="68">
        <v>318</v>
      </c>
      <c r="C2115" s="68">
        <v>22.31</v>
      </c>
    </row>
    <row r="2116" spans="1:3" x14ac:dyDescent="0.55000000000000004">
      <c r="A2116" s="68">
        <v>318</v>
      </c>
      <c r="C2116" s="68">
        <v>20.059999999999999</v>
      </c>
    </row>
    <row r="2117" spans="1:3" x14ac:dyDescent="0.55000000000000004">
      <c r="A2117" s="68">
        <v>318</v>
      </c>
      <c r="C2117" s="68">
        <v>20</v>
      </c>
    </row>
    <row r="2118" spans="1:3" x14ac:dyDescent="0.55000000000000004">
      <c r="A2118" s="68">
        <v>318</v>
      </c>
      <c r="C2118" s="68">
        <v>22.25</v>
      </c>
    </row>
    <row r="2119" spans="1:3" x14ac:dyDescent="0.55000000000000004">
      <c r="A2119" s="68">
        <v>318</v>
      </c>
      <c r="C2119" s="68">
        <v>20</v>
      </c>
    </row>
    <row r="2120" spans="1:3" x14ac:dyDescent="0.55000000000000004">
      <c r="A2120" s="68">
        <v>318</v>
      </c>
      <c r="C2120" s="68">
        <v>19.87</v>
      </c>
    </row>
    <row r="2121" spans="1:3" x14ac:dyDescent="0.55000000000000004">
      <c r="A2121" s="68">
        <v>318</v>
      </c>
      <c r="C2121" s="68">
        <v>22.25</v>
      </c>
    </row>
    <row r="2122" spans="1:3" x14ac:dyDescent="0.55000000000000004">
      <c r="A2122" s="68">
        <v>318</v>
      </c>
      <c r="C2122" s="68">
        <v>21.13</v>
      </c>
    </row>
    <row r="2123" spans="1:3" x14ac:dyDescent="0.55000000000000004">
      <c r="A2123" s="68">
        <v>318</v>
      </c>
      <c r="C2123" s="68">
        <v>19.25</v>
      </c>
    </row>
    <row r="2124" spans="1:3" x14ac:dyDescent="0.55000000000000004">
      <c r="A2124" s="68">
        <v>318</v>
      </c>
      <c r="C2124" s="68">
        <v>21</v>
      </c>
    </row>
    <row r="2125" spans="1:3" x14ac:dyDescent="0.55000000000000004">
      <c r="A2125" s="68">
        <v>318</v>
      </c>
      <c r="C2125" s="68">
        <v>22.44</v>
      </c>
    </row>
    <row r="2126" spans="1:3" x14ac:dyDescent="0.55000000000000004">
      <c r="A2126" s="68">
        <v>318</v>
      </c>
      <c r="C2126" s="68">
        <v>19.809999999999999</v>
      </c>
    </row>
    <row r="2127" spans="1:3" x14ac:dyDescent="0.55000000000000004">
      <c r="A2127" s="68">
        <v>318</v>
      </c>
      <c r="C2127" s="68">
        <v>20</v>
      </c>
    </row>
    <row r="2128" spans="1:3" x14ac:dyDescent="0.55000000000000004">
      <c r="A2128" s="68">
        <v>318</v>
      </c>
      <c r="C2128" s="68">
        <v>20.5</v>
      </c>
    </row>
    <row r="2129" spans="1:3" x14ac:dyDescent="0.55000000000000004">
      <c r="A2129" s="68">
        <v>318</v>
      </c>
      <c r="C2129" s="68">
        <v>21.25</v>
      </c>
    </row>
    <row r="2130" spans="1:3" x14ac:dyDescent="0.55000000000000004">
      <c r="A2130" s="68">
        <v>318</v>
      </c>
      <c r="C2130" s="68">
        <v>19.98</v>
      </c>
    </row>
    <row r="2131" spans="1:3" x14ac:dyDescent="0.55000000000000004">
      <c r="A2131" s="68">
        <v>318</v>
      </c>
      <c r="C2131" s="68">
        <v>19.38</v>
      </c>
    </row>
    <row r="2132" spans="1:3" x14ac:dyDescent="0.55000000000000004">
      <c r="A2132" s="68">
        <v>318</v>
      </c>
      <c r="C2132" s="68">
        <v>19.25</v>
      </c>
    </row>
    <row r="2133" spans="1:3" x14ac:dyDescent="0.55000000000000004">
      <c r="A2133" s="68">
        <v>318</v>
      </c>
      <c r="C2133" s="68">
        <v>22.25</v>
      </c>
    </row>
    <row r="2134" spans="1:3" x14ac:dyDescent="0.55000000000000004">
      <c r="A2134" s="68">
        <v>318</v>
      </c>
      <c r="C2134" s="68">
        <v>19.25</v>
      </c>
    </row>
    <row r="2135" spans="1:3" x14ac:dyDescent="0.55000000000000004">
      <c r="A2135" s="68">
        <v>318</v>
      </c>
      <c r="C2135" s="68">
        <v>19.63</v>
      </c>
    </row>
    <row r="2136" spans="1:3" x14ac:dyDescent="0.55000000000000004">
      <c r="A2136" s="68">
        <v>433</v>
      </c>
      <c r="C2136" s="68">
        <v>19.190000000000001</v>
      </c>
    </row>
    <row r="2137" spans="1:3" x14ac:dyDescent="0.55000000000000004">
      <c r="A2137" s="68">
        <v>433</v>
      </c>
      <c r="C2137" s="68">
        <v>19.190000000000001</v>
      </c>
    </row>
    <row r="2138" spans="1:3" x14ac:dyDescent="0.55000000000000004">
      <c r="A2138" s="68">
        <v>433</v>
      </c>
      <c r="C2138" s="68">
        <v>19.190000000000001</v>
      </c>
    </row>
    <row r="2139" spans="1:3" x14ac:dyDescent="0.55000000000000004">
      <c r="A2139" s="68">
        <v>433</v>
      </c>
      <c r="C2139" s="68">
        <v>19.190000000000001</v>
      </c>
    </row>
    <row r="2140" spans="1:3" x14ac:dyDescent="0.55000000000000004">
      <c r="A2140" s="68">
        <v>433</v>
      </c>
      <c r="C2140" s="68">
        <v>19.190000000000001</v>
      </c>
    </row>
    <row r="2141" spans="1:3" x14ac:dyDescent="0.55000000000000004">
      <c r="A2141" s="68">
        <v>433</v>
      </c>
      <c r="C2141" s="68">
        <v>19.190000000000001</v>
      </c>
    </row>
    <row r="2142" spans="1:3" x14ac:dyDescent="0.55000000000000004">
      <c r="A2142" s="68">
        <v>433</v>
      </c>
      <c r="C2142" s="68">
        <v>19.190000000000001</v>
      </c>
    </row>
    <row r="2143" spans="1:3" x14ac:dyDescent="0.55000000000000004">
      <c r="A2143" s="68">
        <v>433</v>
      </c>
      <c r="C2143" s="68">
        <v>19.190000000000001</v>
      </c>
    </row>
    <row r="2144" spans="1:3" x14ac:dyDescent="0.55000000000000004">
      <c r="A2144" s="68">
        <v>433</v>
      </c>
      <c r="C2144" s="68">
        <v>19.190000000000001</v>
      </c>
    </row>
    <row r="2145" spans="1:3" x14ac:dyDescent="0.55000000000000004">
      <c r="A2145" s="68">
        <v>433</v>
      </c>
      <c r="C2145" s="68">
        <v>19.190000000000001</v>
      </c>
    </row>
    <row r="2146" spans="1:3" x14ac:dyDescent="0.55000000000000004">
      <c r="A2146" s="68">
        <v>433</v>
      </c>
      <c r="C2146" s="68">
        <v>19.190000000000001</v>
      </c>
    </row>
    <row r="2147" spans="1:3" x14ac:dyDescent="0.55000000000000004">
      <c r="A2147" s="68">
        <v>433</v>
      </c>
      <c r="C2147" s="68">
        <v>19.190000000000001</v>
      </c>
    </row>
    <row r="2148" spans="1:3" x14ac:dyDescent="0.55000000000000004">
      <c r="A2148" s="68">
        <v>433</v>
      </c>
      <c r="C2148" s="68">
        <v>19</v>
      </c>
    </row>
    <row r="2149" spans="1:3" x14ac:dyDescent="0.55000000000000004">
      <c r="A2149" s="68">
        <v>433</v>
      </c>
      <c r="C2149" s="68">
        <v>19.190000000000001</v>
      </c>
    </row>
    <row r="2150" spans="1:3" x14ac:dyDescent="0.55000000000000004">
      <c r="A2150" s="68">
        <v>433</v>
      </c>
      <c r="C2150" s="68">
        <v>19.190000000000001</v>
      </c>
    </row>
    <row r="2151" spans="1:3" x14ac:dyDescent="0.55000000000000004">
      <c r="A2151" s="68">
        <v>433</v>
      </c>
      <c r="C2151" s="68">
        <v>19</v>
      </c>
    </row>
    <row r="2152" spans="1:3" x14ac:dyDescent="0.55000000000000004">
      <c r="A2152" s="68">
        <v>433</v>
      </c>
      <c r="C2152" s="68">
        <v>19.29</v>
      </c>
    </row>
    <row r="2153" spans="1:3" x14ac:dyDescent="0.55000000000000004">
      <c r="A2153" s="68">
        <v>433</v>
      </c>
      <c r="C2153" s="68">
        <v>19.2</v>
      </c>
    </row>
    <row r="2154" spans="1:3" x14ac:dyDescent="0.55000000000000004">
      <c r="A2154" s="68">
        <v>433</v>
      </c>
      <c r="C2154" s="68">
        <v>19.190000000000001</v>
      </c>
    </row>
    <row r="2155" spans="1:3" x14ac:dyDescent="0.55000000000000004">
      <c r="A2155" s="68">
        <v>433</v>
      </c>
      <c r="C2155" s="68">
        <v>19</v>
      </c>
    </row>
    <row r="2156" spans="1:3" x14ac:dyDescent="0.55000000000000004">
      <c r="A2156" s="68">
        <v>433</v>
      </c>
      <c r="C2156" s="68">
        <v>19.190000000000001</v>
      </c>
    </row>
    <row r="2157" spans="1:3" x14ac:dyDescent="0.55000000000000004">
      <c r="A2157" s="68">
        <v>433</v>
      </c>
      <c r="C2157" s="68">
        <v>19</v>
      </c>
    </row>
    <row r="2158" spans="1:3" x14ac:dyDescent="0.55000000000000004">
      <c r="A2158" s="68">
        <v>433</v>
      </c>
      <c r="C2158" s="68">
        <v>19.190000000000001</v>
      </c>
    </row>
    <row r="2159" spans="1:3" x14ac:dyDescent="0.55000000000000004">
      <c r="A2159" s="68">
        <v>433</v>
      </c>
      <c r="C2159" s="68">
        <v>19.190000000000001</v>
      </c>
    </row>
    <row r="2160" spans="1:3" x14ac:dyDescent="0.55000000000000004">
      <c r="A2160" s="68">
        <v>433</v>
      </c>
      <c r="C2160" s="68">
        <v>19.489999999999998</v>
      </c>
    </row>
    <row r="2161" spans="1:3" x14ac:dyDescent="0.55000000000000004">
      <c r="A2161" s="68">
        <v>433</v>
      </c>
      <c r="C2161" s="68">
        <v>19.38</v>
      </c>
    </row>
    <row r="2162" spans="1:3" x14ac:dyDescent="0.55000000000000004">
      <c r="A2162" s="68">
        <v>433</v>
      </c>
      <c r="C2162" s="68">
        <v>19.190000000000001</v>
      </c>
    </row>
    <row r="2163" spans="1:3" x14ac:dyDescent="0.55000000000000004">
      <c r="A2163" s="68">
        <v>433</v>
      </c>
      <c r="C2163" s="68">
        <v>19.190000000000001</v>
      </c>
    </row>
    <row r="2164" spans="1:3" x14ac:dyDescent="0.55000000000000004">
      <c r="A2164" s="68">
        <v>433</v>
      </c>
      <c r="C2164" s="68">
        <v>19.190000000000001</v>
      </c>
    </row>
    <row r="2165" spans="1:3" x14ac:dyDescent="0.55000000000000004">
      <c r="A2165" s="68">
        <v>433</v>
      </c>
      <c r="C2165" s="68">
        <v>19.190000000000001</v>
      </c>
    </row>
    <row r="2166" spans="1:3" x14ac:dyDescent="0.55000000000000004">
      <c r="A2166" s="68">
        <v>433</v>
      </c>
      <c r="C2166" s="68">
        <v>19.190000000000001</v>
      </c>
    </row>
    <row r="2167" spans="1:3" x14ac:dyDescent="0.55000000000000004">
      <c r="A2167" s="68">
        <v>433</v>
      </c>
      <c r="C2167" s="68">
        <v>19.190000000000001</v>
      </c>
    </row>
    <row r="2168" spans="1:3" x14ac:dyDescent="0.55000000000000004">
      <c r="A2168" s="68">
        <v>433</v>
      </c>
      <c r="C2168" s="68">
        <v>19.38</v>
      </c>
    </row>
    <row r="2169" spans="1:3" x14ac:dyDescent="0.55000000000000004">
      <c r="A2169" s="68">
        <v>433</v>
      </c>
      <c r="C2169" s="68">
        <v>19.190000000000001</v>
      </c>
    </row>
    <row r="2170" spans="1:3" x14ac:dyDescent="0.55000000000000004">
      <c r="A2170" s="68">
        <v>433</v>
      </c>
      <c r="C2170" s="68">
        <v>19.190000000000001</v>
      </c>
    </row>
    <row r="2171" spans="1:3" x14ac:dyDescent="0.55000000000000004">
      <c r="A2171" s="68">
        <v>433</v>
      </c>
      <c r="C2171" s="68">
        <v>19.190000000000001</v>
      </c>
    </row>
    <row r="2172" spans="1:3" x14ac:dyDescent="0.55000000000000004">
      <c r="A2172" s="68">
        <v>433</v>
      </c>
      <c r="C2172" s="68">
        <v>19.5</v>
      </c>
    </row>
    <row r="2173" spans="1:3" x14ac:dyDescent="0.55000000000000004">
      <c r="A2173" s="68">
        <v>433</v>
      </c>
      <c r="C2173" s="68">
        <v>19</v>
      </c>
    </row>
    <row r="2174" spans="1:3" x14ac:dyDescent="0.55000000000000004">
      <c r="A2174" s="68">
        <v>433</v>
      </c>
      <c r="C2174" s="68">
        <v>19.100000000000001</v>
      </c>
    </row>
    <row r="2175" spans="1:3" x14ac:dyDescent="0.55000000000000004">
      <c r="A2175" s="68">
        <v>222</v>
      </c>
      <c r="C2175" s="68">
        <v>22.7</v>
      </c>
    </row>
    <row r="2176" spans="1:3" x14ac:dyDescent="0.55000000000000004">
      <c r="A2176" s="68">
        <v>222</v>
      </c>
      <c r="C2176" s="68">
        <v>21.63</v>
      </c>
    </row>
    <row r="2177" spans="1:3" x14ac:dyDescent="0.55000000000000004">
      <c r="A2177" s="68">
        <v>222</v>
      </c>
      <c r="C2177" s="68">
        <v>20.8</v>
      </c>
    </row>
    <row r="2178" spans="1:3" x14ac:dyDescent="0.55000000000000004">
      <c r="A2178" s="68">
        <v>222</v>
      </c>
      <c r="C2178" s="68">
        <v>20.72</v>
      </c>
    </row>
    <row r="2179" spans="1:3" x14ac:dyDescent="0.55000000000000004">
      <c r="A2179" s="68">
        <v>222</v>
      </c>
      <c r="C2179" s="68">
        <v>20.440000000000001</v>
      </c>
    </row>
    <row r="2180" spans="1:3" x14ac:dyDescent="0.55000000000000004">
      <c r="A2180" s="68">
        <v>222</v>
      </c>
      <c r="C2180" s="68">
        <v>20.04</v>
      </c>
    </row>
    <row r="2181" spans="1:3" x14ac:dyDescent="0.55000000000000004">
      <c r="A2181" s="68">
        <v>222</v>
      </c>
      <c r="C2181" s="68">
        <v>18.72</v>
      </c>
    </row>
    <row r="2182" spans="1:3" x14ac:dyDescent="0.55000000000000004">
      <c r="A2182" s="68">
        <v>222</v>
      </c>
      <c r="C2182" s="68">
        <v>18.72</v>
      </c>
    </row>
    <row r="2183" spans="1:3" x14ac:dyDescent="0.55000000000000004">
      <c r="A2183" s="68">
        <v>222</v>
      </c>
      <c r="C2183" s="68">
        <v>17.5</v>
      </c>
    </row>
    <row r="2184" spans="1:3" x14ac:dyDescent="0.55000000000000004">
      <c r="A2184" s="68">
        <v>222</v>
      </c>
      <c r="C2184" s="68">
        <v>17.5</v>
      </c>
    </row>
    <row r="2185" spans="1:3" x14ac:dyDescent="0.55000000000000004">
      <c r="A2185" s="68">
        <v>222</v>
      </c>
      <c r="C2185" s="68">
        <v>17.5</v>
      </c>
    </row>
    <row r="2186" spans="1:3" x14ac:dyDescent="0.55000000000000004">
      <c r="A2186" s="68">
        <v>319</v>
      </c>
      <c r="C2186" s="68">
        <v>20</v>
      </c>
    </row>
    <row r="2187" spans="1:3" x14ac:dyDescent="0.55000000000000004">
      <c r="A2187" s="68">
        <v>319</v>
      </c>
      <c r="C2187" s="68">
        <v>22</v>
      </c>
    </row>
    <row r="2188" spans="1:3" x14ac:dyDescent="0.55000000000000004">
      <c r="A2188" s="68">
        <v>319</v>
      </c>
      <c r="C2188" s="68">
        <v>22</v>
      </c>
    </row>
    <row r="2189" spans="1:3" x14ac:dyDescent="0.55000000000000004">
      <c r="A2189" s="68">
        <v>319</v>
      </c>
      <c r="C2189" s="68">
        <v>22</v>
      </c>
    </row>
    <row r="2190" spans="1:3" x14ac:dyDescent="0.55000000000000004">
      <c r="A2190" s="68">
        <v>319</v>
      </c>
      <c r="C2190" s="68">
        <v>22</v>
      </c>
    </row>
    <row r="2191" spans="1:3" x14ac:dyDescent="0.55000000000000004">
      <c r="A2191" s="68">
        <v>319</v>
      </c>
      <c r="C2191" s="68">
        <v>16.5</v>
      </c>
    </row>
    <row r="2192" spans="1:3" x14ac:dyDescent="0.55000000000000004">
      <c r="A2192" s="68">
        <v>319</v>
      </c>
      <c r="C2192" s="68">
        <v>23</v>
      </c>
    </row>
    <row r="2193" spans="1:3" x14ac:dyDescent="0.55000000000000004">
      <c r="A2193" s="68">
        <v>319</v>
      </c>
      <c r="C2193" s="68">
        <v>22</v>
      </c>
    </row>
    <row r="2194" spans="1:3" x14ac:dyDescent="0.55000000000000004">
      <c r="A2194" s="68">
        <v>319</v>
      </c>
      <c r="C2194" s="68">
        <v>18.5</v>
      </c>
    </row>
    <row r="2195" spans="1:3" x14ac:dyDescent="0.55000000000000004">
      <c r="A2195" s="68">
        <v>319</v>
      </c>
      <c r="C2195" s="68">
        <v>16.5</v>
      </c>
    </row>
    <row r="2196" spans="1:3" x14ac:dyDescent="0.55000000000000004">
      <c r="A2196" s="68">
        <v>319</v>
      </c>
      <c r="C2196" s="68">
        <v>17.5</v>
      </c>
    </row>
    <row r="2197" spans="1:3" x14ac:dyDescent="0.55000000000000004">
      <c r="A2197" s="68">
        <v>319</v>
      </c>
      <c r="C2197" s="68">
        <v>19.5</v>
      </c>
    </row>
    <row r="2198" spans="1:3" x14ac:dyDescent="0.55000000000000004">
      <c r="A2198" s="68">
        <v>319</v>
      </c>
      <c r="C2198" s="68">
        <v>17.5</v>
      </c>
    </row>
    <row r="2199" spans="1:3" x14ac:dyDescent="0.55000000000000004">
      <c r="A2199" s="68">
        <v>319</v>
      </c>
      <c r="C2199" s="68">
        <v>20.5</v>
      </c>
    </row>
    <row r="2200" spans="1:3" x14ac:dyDescent="0.55000000000000004">
      <c r="A2200" s="68">
        <v>319</v>
      </c>
      <c r="C2200" s="68">
        <v>22</v>
      </c>
    </row>
    <row r="2201" spans="1:3" x14ac:dyDescent="0.55000000000000004">
      <c r="A2201" s="68">
        <v>319</v>
      </c>
      <c r="C2201" s="68">
        <v>16.5</v>
      </c>
    </row>
    <row r="2202" spans="1:3" x14ac:dyDescent="0.55000000000000004">
      <c r="A2202" s="68">
        <v>319</v>
      </c>
      <c r="C2202" s="68">
        <v>20</v>
      </c>
    </row>
    <row r="2203" spans="1:3" x14ac:dyDescent="0.55000000000000004">
      <c r="A2203" s="68">
        <v>319</v>
      </c>
      <c r="C2203" s="68">
        <v>22</v>
      </c>
    </row>
    <row r="2204" spans="1:3" x14ac:dyDescent="0.55000000000000004">
      <c r="A2204" s="68">
        <v>319</v>
      </c>
      <c r="C2204" s="68">
        <v>22</v>
      </c>
    </row>
    <row r="2205" spans="1:3" x14ac:dyDescent="0.55000000000000004">
      <c r="A2205" s="68">
        <v>319</v>
      </c>
      <c r="C2205" s="68">
        <v>20</v>
      </c>
    </row>
    <row r="2206" spans="1:3" x14ac:dyDescent="0.55000000000000004">
      <c r="A2206" s="68">
        <v>319</v>
      </c>
      <c r="C2206" s="68">
        <v>22</v>
      </c>
    </row>
    <row r="2207" spans="1:3" x14ac:dyDescent="0.55000000000000004">
      <c r="A2207" s="68">
        <v>319</v>
      </c>
      <c r="C2207" s="68">
        <v>21.5</v>
      </c>
    </row>
    <row r="2208" spans="1:3" x14ac:dyDescent="0.55000000000000004">
      <c r="A2208" s="68">
        <v>319</v>
      </c>
      <c r="C2208" s="68">
        <v>17.5</v>
      </c>
    </row>
    <row r="2209" spans="1:3" x14ac:dyDescent="0.55000000000000004">
      <c r="A2209" s="68">
        <v>319</v>
      </c>
      <c r="C2209" s="68">
        <v>16.5</v>
      </c>
    </row>
    <row r="2210" spans="1:3" x14ac:dyDescent="0.55000000000000004">
      <c r="A2210" s="68">
        <v>319</v>
      </c>
      <c r="C2210" s="68">
        <v>20</v>
      </c>
    </row>
    <row r="2211" spans="1:3" x14ac:dyDescent="0.55000000000000004">
      <c r="A2211" s="68">
        <v>385</v>
      </c>
      <c r="C2211" s="68">
        <v>22.9</v>
      </c>
    </row>
    <row r="2212" spans="1:3" x14ac:dyDescent="0.55000000000000004">
      <c r="A2212" s="68">
        <v>385</v>
      </c>
      <c r="C2212" s="68">
        <v>21</v>
      </c>
    </row>
    <row r="2213" spans="1:3" x14ac:dyDescent="0.55000000000000004">
      <c r="A2213" s="68">
        <v>385</v>
      </c>
      <c r="C2213" s="68">
        <v>21.5</v>
      </c>
    </row>
    <row r="2214" spans="1:3" x14ac:dyDescent="0.55000000000000004">
      <c r="A2214" s="68">
        <v>385</v>
      </c>
      <c r="C2214" s="68">
        <v>22.04</v>
      </c>
    </row>
    <row r="2215" spans="1:3" x14ac:dyDescent="0.55000000000000004">
      <c r="A2215" s="68">
        <v>385</v>
      </c>
      <c r="C2215" s="68">
        <v>21.5</v>
      </c>
    </row>
    <row r="2216" spans="1:3" x14ac:dyDescent="0.55000000000000004">
      <c r="A2216" s="68">
        <v>385</v>
      </c>
      <c r="C2216" s="68">
        <v>20.23</v>
      </c>
    </row>
    <row r="2217" spans="1:3" x14ac:dyDescent="0.55000000000000004">
      <c r="A2217" s="68">
        <v>385</v>
      </c>
      <c r="C2217" s="68">
        <v>19.18</v>
      </c>
    </row>
    <row r="2218" spans="1:3" x14ac:dyDescent="0.55000000000000004">
      <c r="A2218" s="68">
        <v>385</v>
      </c>
      <c r="C2218" s="68">
        <v>21.5</v>
      </c>
    </row>
    <row r="2219" spans="1:3" x14ac:dyDescent="0.55000000000000004">
      <c r="A2219" s="68">
        <v>385</v>
      </c>
      <c r="C2219" s="68">
        <v>21.5</v>
      </c>
    </row>
    <row r="2220" spans="1:3" x14ac:dyDescent="0.55000000000000004">
      <c r="A2220" s="68">
        <v>385</v>
      </c>
      <c r="C2220" s="68">
        <v>21.5</v>
      </c>
    </row>
    <row r="2221" spans="1:3" x14ac:dyDescent="0.55000000000000004">
      <c r="A2221" s="68">
        <v>385</v>
      </c>
      <c r="C2221" s="68">
        <v>23.59</v>
      </c>
    </row>
    <row r="2222" spans="1:3" x14ac:dyDescent="0.55000000000000004">
      <c r="A2222" s="68">
        <v>385</v>
      </c>
      <c r="C2222" s="68">
        <v>20.38</v>
      </c>
    </row>
    <row r="2223" spans="1:3" x14ac:dyDescent="0.55000000000000004">
      <c r="A2223" s="68">
        <v>385</v>
      </c>
      <c r="C2223" s="68">
        <v>25.58</v>
      </c>
    </row>
    <row r="2224" spans="1:3" x14ac:dyDescent="0.55000000000000004">
      <c r="A2224" s="68">
        <v>385</v>
      </c>
      <c r="C2224" s="68">
        <v>22.04</v>
      </c>
    </row>
    <row r="2225" spans="1:3" x14ac:dyDescent="0.55000000000000004">
      <c r="A2225" s="68">
        <v>385</v>
      </c>
      <c r="C2225" s="68">
        <v>23.84</v>
      </c>
    </row>
    <row r="2226" spans="1:3" x14ac:dyDescent="0.55000000000000004">
      <c r="A2226" s="68">
        <v>385</v>
      </c>
      <c r="C2226" s="68">
        <v>22.66</v>
      </c>
    </row>
    <row r="2227" spans="1:3" x14ac:dyDescent="0.55000000000000004">
      <c r="A2227" s="68">
        <v>385</v>
      </c>
      <c r="C2227" s="68">
        <v>25.46</v>
      </c>
    </row>
    <row r="2228" spans="1:3" x14ac:dyDescent="0.55000000000000004">
      <c r="A2228" s="68">
        <v>385</v>
      </c>
      <c r="C2228" s="68">
        <v>19.62</v>
      </c>
    </row>
    <row r="2229" spans="1:3" x14ac:dyDescent="0.55000000000000004">
      <c r="A2229" s="68">
        <v>385</v>
      </c>
      <c r="C2229" s="68">
        <v>22.48</v>
      </c>
    </row>
    <row r="2230" spans="1:3" x14ac:dyDescent="0.55000000000000004">
      <c r="A2230" s="68">
        <v>385</v>
      </c>
      <c r="C2230" s="68">
        <v>23.25</v>
      </c>
    </row>
    <row r="2231" spans="1:3" x14ac:dyDescent="0.55000000000000004">
      <c r="A2231" s="68">
        <v>385</v>
      </c>
      <c r="C2231" s="68">
        <v>18</v>
      </c>
    </row>
    <row r="2232" spans="1:3" x14ac:dyDescent="0.55000000000000004">
      <c r="A2232" s="68">
        <v>820</v>
      </c>
      <c r="C2232" s="68">
        <v>19.46</v>
      </c>
    </row>
    <row r="2233" spans="1:3" x14ac:dyDescent="0.55000000000000004">
      <c r="A2233" s="68">
        <v>820</v>
      </c>
      <c r="C2233" s="68">
        <v>19.46</v>
      </c>
    </row>
    <row r="2234" spans="1:3" x14ac:dyDescent="0.55000000000000004">
      <c r="A2234" s="68">
        <v>820</v>
      </c>
      <c r="C2234" s="68">
        <v>19.93</v>
      </c>
    </row>
    <row r="2235" spans="1:3" x14ac:dyDescent="0.55000000000000004">
      <c r="A2235" s="68">
        <v>820</v>
      </c>
      <c r="C2235" s="68">
        <v>20.440000000000001</v>
      </c>
    </row>
    <row r="2236" spans="1:3" x14ac:dyDescent="0.55000000000000004">
      <c r="A2236" s="68">
        <v>820</v>
      </c>
      <c r="C2236" s="68">
        <v>20.95</v>
      </c>
    </row>
    <row r="2237" spans="1:3" x14ac:dyDescent="0.55000000000000004">
      <c r="A2237" s="68">
        <v>820</v>
      </c>
      <c r="C2237" s="68">
        <v>20.95</v>
      </c>
    </row>
    <row r="2238" spans="1:3" x14ac:dyDescent="0.55000000000000004">
      <c r="A2238" s="68">
        <v>820</v>
      </c>
      <c r="C2238" s="68">
        <v>20.95</v>
      </c>
    </row>
    <row r="2239" spans="1:3" x14ac:dyDescent="0.55000000000000004">
      <c r="A2239" s="68">
        <v>820</v>
      </c>
      <c r="C2239" s="68">
        <v>20.95</v>
      </c>
    </row>
    <row r="2240" spans="1:3" x14ac:dyDescent="0.55000000000000004">
      <c r="A2240" s="68">
        <v>820</v>
      </c>
      <c r="C2240" s="68">
        <v>20.95</v>
      </c>
    </row>
    <row r="2241" spans="1:3" x14ac:dyDescent="0.55000000000000004">
      <c r="A2241" s="68">
        <v>820</v>
      </c>
      <c r="C2241" s="68">
        <v>21.44</v>
      </c>
    </row>
    <row r="2242" spans="1:3" x14ac:dyDescent="0.55000000000000004">
      <c r="A2242" s="68">
        <v>820</v>
      </c>
      <c r="C2242" s="68">
        <v>21.44</v>
      </c>
    </row>
    <row r="2243" spans="1:3" x14ac:dyDescent="0.55000000000000004">
      <c r="A2243" s="68">
        <v>820</v>
      </c>
      <c r="C2243" s="68">
        <v>21.44</v>
      </c>
    </row>
    <row r="2244" spans="1:3" x14ac:dyDescent="0.55000000000000004">
      <c r="A2244" s="68">
        <v>820</v>
      </c>
      <c r="C2244" s="68">
        <v>21.44</v>
      </c>
    </row>
    <row r="2245" spans="1:3" x14ac:dyDescent="0.55000000000000004">
      <c r="A2245" s="68">
        <v>820</v>
      </c>
      <c r="C2245" s="68">
        <v>21.44</v>
      </c>
    </row>
    <row r="2246" spans="1:3" x14ac:dyDescent="0.55000000000000004">
      <c r="A2246" s="68">
        <v>820</v>
      </c>
      <c r="C2246" s="68">
        <v>21.44</v>
      </c>
    </row>
    <row r="2247" spans="1:3" x14ac:dyDescent="0.55000000000000004">
      <c r="A2247" s="68">
        <v>820</v>
      </c>
      <c r="C2247" s="68">
        <v>21.44</v>
      </c>
    </row>
    <row r="2248" spans="1:3" x14ac:dyDescent="0.55000000000000004">
      <c r="A2248" s="68">
        <v>820</v>
      </c>
      <c r="C2248" s="68">
        <v>21.44</v>
      </c>
    </row>
    <row r="2249" spans="1:3" x14ac:dyDescent="0.55000000000000004">
      <c r="A2249" s="68">
        <v>820</v>
      </c>
      <c r="C2249" s="68">
        <v>21.44</v>
      </c>
    </row>
    <row r="2250" spans="1:3" x14ac:dyDescent="0.55000000000000004">
      <c r="A2250" s="68">
        <v>820</v>
      </c>
      <c r="C2250" s="68">
        <v>21.44</v>
      </c>
    </row>
    <row r="2251" spans="1:3" x14ac:dyDescent="0.55000000000000004">
      <c r="A2251" s="68">
        <v>820</v>
      </c>
      <c r="C2251" s="68">
        <v>22</v>
      </c>
    </row>
    <row r="2252" spans="1:3" x14ac:dyDescent="0.55000000000000004">
      <c r="A2252" s="68">
        <v>820</v>
      </c>
      <c r="C2252" s="68">
        <v>22</v>
      </c>
    </row>
    <row r="2253" spans="1:3" x14ac:dyDescent="0.55000000000000004">
      <c r="A2253" s="68">
        <v>820</v>
      </c>
      <c r="C2253" s="68">
        <v>22</v>
      </c>
    </row>
    <row r="2254" spans="1:3" x14ac:dyDescent="0.55000000000000004">
      <c r="A2254" s="68">
        <v>820</v>
      </c>
      <c r="C2254" s="68">
        <v>22</v>
      </c>
    </row>
    <row r="2255" spans="1:3" x14ac:dyDescent="0.55000000000000004">
      <c r="A2255" s="68">
        <v>820</v>
      </c>
      <c r="C2255" s="68">
        <v>22</v>
      </c>
    </row>
    <row r="2256" spans="1:3" x14ac:dyDescent="0.55000000000000004">
      <c r="A2256" s="68">
        <v>820</v>
      </c>
      <c r="C2256" s="68">
        <v>22</v>
      </c>
    </row>
    <row r="2257" spans="1:3" x14ac:dyDescent="0.55000000000000004">
      <c r="A2257" s="68">
        <v>820</v>
      </c>
      <c r="C2257" s="68">
        <v>22</v>
      </c>
    </row>
    <row r="2258" spans="1:3" x14ac:dyDescent="0.55000000000000004">
      <c r="A2258" s="68">
        <v>820</v>
      </c>
      <c r="C2258" s="68">
        <v>22</v>
      </c>
    </row>
    <row r="2259" spans="1:3" x14ac:dyDescent="0.55000000000000004">
      <c r="A2259" s="68">
        <v>820</v>
      </c>
      <c r="C2259" s="68">
        <v>22</v>
      </c>
    </row>
    <row r="2260" spans="1:3" x14ac:dyDescent="0.55000000000000004">
      <c r="A2260" s="68">
        <v>820</v>
      </c>
      <c r="C2260" s="68">
        <v>22</v>
      </c>
    </row>
    <row r="2261" spans="1:3" x14ac:dyDescent="0.55000000000000004">
      <c r="A2261" s="68">
        <v>820</v>
      </c>
      <c r="C2261" s="68">
        <v>22</v>
      </c>
    </row>
    <row r="2262" spans="1:3" x14ac:dyDescent="0.55000000000000004">
      <c r="A2262" s="68">
        <v>820</v>
      </c>
      <c r="C2262" s="68">
        <v>22</v>
      </c>
    </row>
    <row r="2263" spans="1:3" x14ac:dyDescent="0.55000000000000004">
      <c r="A2263" s="68">
        <v>820</v>
      </c>
      <c r="C2263" s="68">
        <v>22</v>
      </c>
    </row>
    <row r="2264" spans="1:3" x14ac:dyDescent="0.55000000000000004">
      <c r="A2264" s="68">
        <v>820</v>
      </c>
      <c r="C2264" s="68">
        <v>22</v>
      </c>
    </row>
    <row r="2265" spans="1:3" x14ac:dyDescent="0.55000000000000004">
      <c r="A2265" s="68">
        <v>820</v>
      </c>
      <c r="C2265" s="68">
        <v>22</v>
      </c>
    </row>
    <row r="2266" spans="1:3" x14ac:dyDescent="0.55000000000000004">
      <c r="A2266" s="68">
        <v>820</v>
      </c>
      <c r="C2266" s="68">
        <v>22</v>
      </c>
    </row>
    <row r="2267" spans="1:3" x14ac:dyDescent="0.55000000000000004">
      <c r="A2267" s="68">
        <v>820</v>
      </c>
      <c r="C2267" s="68">
        <v>22</v>
      </c>
    </row>
    <row r="2268" spans="1:3" x14ac:dyDescent="0.55000000000000004">
      <c r="A2268" s="68">
        <v>820</v>
      </c>
      <c r="C2268" s="68">
        <v>22</v>
      </c>
    </row>
    <row r="2269" spans="1:3" x14ac:dyDescent="0.55000000000000004">
      <c r="A2269" s="68">
        <v>820</v>
      </c>
      <c r="C2269" s="68">
        <v>22</v>
      </c>
    </row>
    <row r="2270" spans="1:3" x14ac:dyDescent="0.55000000000000004">
      <c r="A2270" s="68">
        <v>820</v>
      </c>
      <c r="C2270" s="68">
        <v>22</v>
      </c>
    </row>
    <row r="2271" spans="1:3" x14ac:dyDescent="0.55000000000000004">
      <c r="A2271" s="68">
        <v>820</v>
      </c>
      <c r="C2271" s="68">
        <v>22</v>
      </c>
    </row>
    <row r="2272" spans="1:3" x14ac:dyDescent="0.55000000000000004">
      <c r="A2272" s="68">
        <v>820</v>
      </c>
      <c r="C2272" s="68">
        <v>22</v>
      </c>
    </row>
    <row r="2273" spans="1:3" x14ac:dyDescent="0.55000000000000004">
      <c r="A2273" s="68">
        <v>820</v>
      </c>
      <c r="C2273" s="68">
        <v>22</v>
      </c>
    </row>
    <row r="2274" spans="1:3" x14ac:dyDescent="0.55000000000000004">
      <c r="A2274" s="68">
        <v>820</v>
      </c>
      <c r="C2274" s="68">
        <v>22</v>
      </c>
    </row>
    <row r="2275" spans="1:3" x14ac:dyDescent="0.55000000000000004">
      <c r="A2275" s="68">
        <v>820</v>
      </c>
      <c r="C2275" s="68">
        <v>22</v>
      </c>
    </row>
    <row r="2276" spans="1:3" x14ac:dyDescent="0.55000000000000004">
      <c r="A2276" s="68">
        <v>820</v>
      </c>
      <c r="C2276" s="68">
        <v>22</v>
      </c>
    </row>
    <row r="2277" spans="1:3" x14ac:dyDescent="0.55000000000000004">
      <c r="A2277" s="68">
        <v>820</v>
      </c>
      <c r="C2277" s="68">
        <v>18.5</v>
      </c>
    </row>
    <row r="2278" spans="1:3" x14ac:dyDescent="0.55000000000000004">
      <c r="A2278" s="68">
        <v>383</v>
      </c>
      <c r="C2278" s="68">
        <v>23.31</v>
      </c>
    </row>
    <row r="2279" spans="1:3" x14ac:dyDescent="0.55000000000000004">
      <c r="A2279" s="68">
        <v>383</v>
      </c>
      <c r="C2279" s="68">
        <v>22.6</v>
      </c>
    </row>
    <row r="2280" spans="1:3" x14ac:dyDescent="0.55000000000000004">
      <c r="A2280" s="68">
        <v>383</v>
      </c>
      <c r="C2280" s="68">
        <v>26.28</v>
      </c>
    </row>
    <row r="2281" spans="1:3" x14ac:dyDescent="0.55000000000000004">
      <c r="A2281" s="68">
        <v>383</v>
      </c>
      <c r="C2281" s="68">
        <v>25.78</v>
      </c>
    </row>
    <row r="2282" spans="1:3" x14ac:dyDescent="0.55000000000000004">
      <c r="A2282" s="68">
        <v>383</v>
      </c>
      <c r="C2282" s="68">
        <v>25.64</v>
      </c>
    </row>
    <row r="2283" spans="1:3" x14ac:dyDescent="0.55000000000000004">
      <c r="A2283" s="68">
        <v>383</v>
      </c>
      <c r="C2283" s="68">
        <v>22.6</v>
      </c>
    </row>
    <row r="2284" spans="1:3" x14ac:dyDescent="0.55000000000000004">
      <c r="A2284" s="68">
        <v>383</v>
      </c>
      <c r="C2284" s="68">
        <v>25.64</v>
      </c>
    </row>
    <row r="2285" spans="1:3" x14ac:dyDescent="0.55000000000000004">
      <c r="A2285" s="68">
        <v>383</v>
      </c>
      <c r="C2285" s="68">
        <v>25.64</v>
      </c>
    </row>
    <row r="2286" spans="1:3" x14ac:dyDescent="0.55000000000000004">
      <c r="A2286" s="68">
        <v>383</v>
      </c>
      <c r="C2286" s="68">
        <v>22.6</v>
      </c>
    </row>
    <row r="2287" spans="1:3" x14ac:dyDescent="0.55000000000000004">
      <c r="A2287" s="68">
        <v>383</v>
      </c>
      <c r="C2287" s="68">
        <v>22.6</v>
      </c>
    </row>
    <row r="2288" spans="1:3" x14ac:dyDescent="0.55000000000000004">
      <c r="A2288" s="68">
        <v>383</v>
      </c>
      <c r="C2288" s="68">
        <v>22.6</v>
      </c>
    </row>
    <row r="2289" spans="1:3" x14ac:dyDescent="0.55000000000000004">
      <c r="A2289" s="68">
        <v>383</v>
      </c>
      <c r="C2289" s="68">
        <v>22.6</v>
      </c>
    </row>
    <row r="2290" spans="1:3" x14ac:dyDescent="0.55000000000000004">
      <c r="A2290" s="68">
        <v>383</v>
      </c>
      <c r="C2290" s="68">
        <v>26.28</v>
      </c>
    </row>
    <row r="2291" spans="1:3" x14ac:dyDescent="0.55000000000000004">
      <c r="A2291" s="68">
        <v>383</v>
      </c>
      <c r="C2291" s="68">
        <v>22.6</v>
      </c>
    </row>
    <row r="2292" spans="1:3" x14ac:dyDescent="0.55000000000000004">
      <c r="A2292" s="68">
        <v>383</v>
      </c>
      <c r="C2292" s="68">
        <v>25.64</v>
      </c>
    </row>
    <row r="2293" spans="1:3" x14ac:dyDescent="0.55000000000000004">
      <c r="A2293" s="68">
        <v>383</v>
      </c>
      <c r="C2293" s="68">
        <v>22.6</v>
      </c>
    </row>
    <row r="2294" spans="1:3" x14ac:dyDescent="0.55000000000000004">
      <c r="A2294" s="68">
        <v>383</v>
      </c>
      <c r="C2294" s="68">
        <v>22.6</v>
      </c>
    </row>
    <row r="2295" spans="1:3" x14ac:dyDescent="0.55000000000000004">
      <c r="A2295" s="68">
        <v>383</v>
      </c>
      <c r="C2295" s="68">
        <v>22.6</v>
      </c>
    </row>
    <row r="2296" spans="1:3" x14ac:dyDescent="0.55000000000000004">
      <c r="A2296" s="68">
        <v>383</v>
      </c>
      <c r="C2296" s="68">
        <v>25.93</v>
      </c>
    </row>
    <row r="2297" spans="1:3" x14ac:dyDescent="0.55000000000000004">
      <c r="A2297" s="68">
        <v>383</v>
      </c>
      <c r="C2297" s="68">
        <v>26.28</v>
      </c>
    </row>
    <row r="2298" spans="1:3" x14ac:dyDescent="0.55000000000000004">
      <c r="A2298" s="68">
        <v>383</v>
      </c>
      <c r="C2298" s="68">
        <v>25.93</v>
      </c>
    </row>
    <row r="2299" spans="1:3" x14ac:dyDescent="0.55000000000000004">
      <c r="A2299" s="68">
        <v>383</v>
      </c>
      <c r="C2299" s="68">
        <v>25.93</v>
      </c>
    </row>
    <row r="2300" spans="1:3" x14ac:dyDescent="0.55000000000000004">
      <c r="A2300" s="68">
        <v>383</v>
      </c>
      <c r="C2300" s="68">
        <v>22.6</v>
      </c>
    </row>
    <row r="2301" spans="1:3" x14ac:dyDescent="0.55000000000000004">
      <c r="A2301" s="68">
        <v>383</v>
      </c>
      <c r="C2301" s="68">
        <v>25.45</v>
      </c>
    </row>
    <row r="2302" spans="1:3" x14ac:dyDescent="0.55000000000000004">
      <c r="A2302" s="68">
        <v>383</v>
      </c>
      <c r="C2302" s="68">
        <v>22.6</v>
      </c>
    </row>
    <row r="2303" spans="1:3" x14ac:dyDescent="0.55000000000000004">
      <c r="A2303" s="68">
        <v>383</v>
      </c>
      <c r="C2303" s="68">
        <v>26.81</v>
      </c>
    </row>
    <row r="2304" spans="1:3" x14ac:dyDescent="0.55000000000000004">
      <c r="A2304" s="68">
        <v>383</v>
      </c>
      <c r="C2304" s="68">
        <v>24.43</v>
      </c>
    </row>
    <row r="2305" spans="1:3" x14ac:dyDescent="0.55000000000000004">
      <c r="A2305" s="68">
        <v>383</v>
      </c>
      <c r="C2305" s="68">
        <v>22.6</v>
      </c>
    </row>
    <row r="2306" spans="1:3" x14ac:dyDescent="0.55000000000000004">
      <c r="A2306" s="68">
        <v>383</v>
      </c>
      <c r="C2306" s="68">
        <v>22.6</v>
      </c>
    </row>
    <row r="2307" spans="1:3" x14ac:dyDescent="0.55000000000000004">
      <c r="A2307" s="68">
        <v>383</v>
      </c>
      <c r="C2307" s="68">
        <v>22.6</v>
      </c>
    </row>
    <row r="2308" spans="1:3" x14ac:dyDescent="0.55000000000000004">
      <c r="A2308" s="68">
        <v>205</v>
      </c>
      <c r="C2308" s="68">
        <v>19.25</v>
      </c>
    </row>
    <row r="2309" spans="1:3" x14ac:dyDescent="0.55000000000000004">
      <c r="A2309" s="68">
        <v>205</v>
      </c>
      <c r="C2309" s="68">
        <v>16.5</v>
      </c>
    </row>
    <row r="2310" spans="1:3" x14ac:dyDescent="0.55000000000000004">
      <c r="A2310" s="68">
        <v>205</v>
      </c>
      <c r="C2310" s="68">
        <v>18</v>
      </c>
    </row>
    <row r="2311" spans="1:3" x14ac:dyDescent="0.55000000000000004">
      <c r="A2311" s="68">
        <v>205</v>
      </c>
      <c r="C2311" s="68">
        <v>18</v>
      </c>
    </row>
    <row r="2312" spans="1:3" x14ac:dyDescent="0.55000000000000004">
      <c r="A2312" s="68">
        <v>205</v>
      </c>
      <c r="C2312" s="68">
        <v>16.5</v>
      </c>
    </row>
    <row r="2313" spans="1:3" x14ac:dyDescent="0.55000000000000004">
      <c r="A2313" s="68">
        <v>205</v>
      </c>
      <c r="C2313" s="68">
        <v>16.5</v>
      </c>
    </row>
    <row r="2314" spans="1:3" x14ac:dyDescent="0.55000000000000004">
      <c r="A2314" s="68">
        <v>205</v>
      </c>
      <c r="C2314" s="68">
        <v>18</v>
      </c>
    </row>
    <row r="2315" spans="1:3" x14ac:dyDescent="0.55000000000000004">
      <c r="A2315" s="68">
        <v>205</v>
      </c>
      <c r="C2315" s="68">
        <v>19.78</v>
      </c>
    </row>
    <row r="2316" spans="1:3" x14ac:dyDescent="0.55000000000000004">
      <c r="A2316" s="68">
        <v>205</v>
      </c>
      <c r="C2316" s="68">
        <v>21.28</v>
      </c>
    </row>
    <row r="2317" spans="1:3" x14ac:dyDescent="0.55000000000000004">
      <c r="A2317" s="68">
        <v>205</v>
      </c>
      <c r="C2317" s="68">
        <v>18.11</v>
      </c>
    </row>
    <row r="2318" spans="1:3" x14ac:dyDescent="0.55000000000000004">
      <c r="A2318" s="68">
        <v>205</v>
      </c>
      <c r="C2318" s="68">
        <v>19</v>
      </c>
    </row>
    <row r="2319" spans="1:3" x14ac:dyDescent="0.55000000000000004">
      <c r="A2319" s="68">
        <v>205</v>
      </c>
      <c r="C2319" s="68">
        <v>20.68</v>
      </c>
    </row>
    <row r="2320" spans="1:3" x14ac:dyDescent="0.55000000000000004">
      <c r="A2320" s="68">
        <v>205</v>
      </c>
      <c r="C2320" s="68">
        <v>18</v>
      </c>
    </row>
    <row r="2321" spans="1:3" x14ac:dyDescent="0.55000000000000004">
      <c r="A2321" s="68">
        <v>205</v>
      </c>
      <c r="C2321" s="68">
        <v>20.12</v>
      </c>
    </row>
    <row r="2322" spans="1:3" x14ac:dyDescent="0.55000000000000004">
      <c r="A2322" s="68">
        <v>205</v>
      </c>
      <c r="C2322" s="68">
        <v>18.8</v>
      </c>
    </row>
    <row r="2323" spans="1:3" x14ac:dyDescent="0.55000000000000004">
      <c r="A2323" s="68">
        <v>205</v>
      </c>
      <c r="C2323" s="68">
        <v>19.71</v>
      </c>
    </row>
    <row r="2324" spans="1:3" x14ac:dyDescent="0.55000000000000004">
      <c r="A2324" s="68">
        <v>205</v>
      </c>
      <c r="C2324" s="68">
        <v>19.71</v>
      </c>
    </row>
    <row r="2325" spans="1:3" x14ac:dyDescent="0.55000000000000004">
      <c r="A2325" s="68">
        <v>205</v>
      </c>
      <c r="C2325" s="68">
        <v>18.61</v>
      </c>
    </row>
    <row r="2326" spans="1:3" x14ac:dyDescent="0.55000000000000004">
      <c r="A2326" s="68">
        <v>205</v>
      </c>
      <c r="C2326" s="68">
        <v>19.21</v>
      </c>
    </row>
    <row r="2327" spans="1:3" x14ac:dyDescent="0.55000000000000004">
      <c r="A2327" s="68">
        <v>205</v>
      </c>
      <c r="C2327" s="68">
        <v>18.8</v>
      </c>
    </row>
    <row r="2328" spans="1:3" x14ac:dyDescent="0.55000000000000004">
      <c r="A2328" s="68">
        <v>205</v>
      </c>
      <c r="C2328" s="68">
        <v>18.48</v>
      </c>
    </row>
    <row r="2329" spans="1:3" x14ac:dyDescent="0.55000000000000004">
      <c r="A2329" s="68">
        <v>205</v>
      </c>
      <c r="C2329" s="68">
        <v>18</v>
      </c>
    </row>
    <row r="2330" spans="1:3" x14ac:dyDescent="0.55000000000000004">
      <c r="A2330" s="68">
        <v>205</v>
      </c>
      <c r="C2330" s="68">
        <v>18</v>
      </c>
    </row>
    <row r="2331" spans="1:3" x14ac:dyDescent="0.55000000000000004">
      <c r="A2331" s="68">
        <v>205</v>
      </c>
      <c r="C2331" s="68">
        <v>19.34</v>
      </c>
    </row>
    <row r="2332" spans="1:3" x14ac:dyDescent="0.55000000000000004">
      <c r="A2332" s="68">
        <v>205</v>
      </c>
      <c r="C2332" s="68">
        <v>18</v>
      </c>
    </row>
    <row r="2333" spans="1:3" x14ac:dyDescent="0.55000000000000004">
      <c r="A2333" s="68">
        <v>205</v>
      </c>
      <c r="C2333" s="68">
        <v>18</v>
      </c>
    </row>
    <row r="2334" spans="1:3" x14ac:dyDescent="0.55000000000000004">
      <c r="A2334" s="68">
        <v>205</v>
      </c>
      <c r="C2334" s="68">
        <v>18</v>
      </c>
    </row>
    <row r="2335" spans="1:3" x14ac:dyDescent="0.55000000000000004">
      <c r="A2335" s="68">
        <v>205</v>
      </c>
      <c r="C2335" s="68">
        <v>18</v>
      </c>
    </row>
    <row r="2336" spans="1:3" x14ac:dyDescent="0.55000000000000004">
      <c r="A2336" s="68">
        <v>205</v>
      </c>
      <c r="C2336" s="68">
        <v>20.68</v>
      </c>
    </row>
    <row r="2337" spans="1:3" x14ac:dyDescent="0.55000000000000004">
      <c r="A2337" s="68">
        <v>205</v>
      </c>
      <c r="C2337" s="68">
        <v>18</v>
      </c>
    </row>
    <row r="2338" spans="1:3" x14ac:dyDescent="0.55000000000000004">
      <c r="A2338" s="68">
        <v>206</v>
      </c>
      <c r="C2338" s="68">
        <v>19.95</v>
      </c>
    </row>
    <row r="2339" spans="1:3" x14ac:dyDescent="0.55000000000000004">
      <c r="A2339" s="68">
        <v>206</v>
      </c>
      <c r="C2339" s="68">
        <v>19.55</v>
      </c>
    </row>
    <row r="2340" spans="1:3" x14ac:dyDescent="0.55000000000000004">
      <c r="A2340" s="68">
        <v>206</v>
      </c>
      <c r="C2340" s="68">
        <v>19.55</v>
      </c>
    </row>
    <row r="2341" spans="1:3" x14ac:dyDescent="0.55000000000000004">
      <c r="A2341" s="68">
        <v>206</v>
      </c>
      <c r="C2341" s="68">
        <v>19.43</v>
      </c>
    </row>
    <row r="2342" spans="1:3" x14ac:dyDescent="0.55000000000000004">
      <c r="A2342" s="68">
        <v>206</v>
      </c>
      <c r="C2342" s="68">
        <v>19.05</v>
      </c>
    </row>
    <row r="2343" spans="1:3" x14ac:dyDescent="0.55000000000000004">
      <c r="A2343" s="68">
        <v>206</v>
      </c>
      <c r="C2343" s="68">
        <v>19.05</v>
      </c>
    </row>
    <row r="2344" spans="1:3" x14ac:dyDescent="0.55000000000000004">
      <c r="A2344" s="68">
        <v>206</v>
      </c>
      <c r="C2344" s="68">
        <v>18.55</v>
      </c>
    </row>
    <row r="2345" spans="1:3" x14ac:dyDescent="0.55000000000000004">
      <c r="A2345" s="68">
        <v>206</v>
      </c>
      <c r="C2345" s="68">
        <v>18.55</v>
      </c>
    </row>
    <row r="2346" spans="1:3" x14ac:dyDescent="0.55000000000000004">
      <c r="A2346" s="68">
        <v>206</v>
      </c>
      <c r="C2346" s="68">
        <v>18.55</v>
      </c>
    </row>
    <row r="2347" spans="1:3" x14ac:dyDescent="0.55000000000000004">
      <c r="A2347" s="68">
        <v>206</v>
      </c>
      <c r="C2347" s="68">
        <v>18.55</v>
      </c>
    </row>
    <row r="2348" spans="1:3" x14ac:dyDescent="0.55000000000000004">
      <c r="A2348" s="68">
        <v>206</v>
      </c>
      <c r="C2348" s="68">
        <v>18.55</v>
      </c>
    </row>
    <row r="2349" spans="1:3" x14ac:dyDescent="0.55000000000000004">
      <c r="A2349" s="68">
        <v>206</v>
      </c>
      <c r="C2349" s="68">
        <v>18.55</v>
      </c>
    </row>
    <row r="2350" spans="1:3" x14ac:dyDescent="0.55000000000000004">
      <c r="A2350" s="68">
        <v>206</v>
      </c>
      <c r="C2350" s="68">
        <v>18.39</v>
      </c>
    </row>
    <row r="2351" spans="1:3" x14ac:dyDescent="0.55000000000000004">
      <c r="A2351" s="68">
        <v>206</v>
      </c>
      <c r="C2351" s="68">
        <v>18.39</v>
      </c>
    </row>
    <row r="2352" spans="1:3" x14ac:dyDescent="0.55000000000000004">
      <c r="A2352" s="68">
        <v>206</v>
      </c>
      <c r="C2352" s="68">
        <v>18.39</v>
      </c>
    </row>
    <row r="2353" spans="1:3" x14ac:dyDescent="0.55000000000000004">
      <c r="A2353" s="68">
        <v>206</v>
      </c>
      <c r="C2353" s="68">
        <v>18.39</v>
      </c>
    </row>
    <row r="2354" spans="1:3" x14ac:dyDescent="0.55000000000000004">
      <c r="A2354" s="68">
        <v>206</v>
      </c>
      <c r="C2354" s="68">
        <v>18.39</v>
      </c>
    </row>
    <row r="2355" spans="1:3" x14ac:dyDescent="0.55000000000000004">
      <c r="A2355" s="68">
        <v>206</v>
      </c>
      <c r="C2355" s="68">
        <v>18.39</v>
      </c>
    </row>
    <row r="2356" spans="1:3" x14ac:dyDescent="0.55000000000000004">
      <c r="A2356" s="68">
        <v>206</v>
      </c>
      <c r="C2356" s="68">
        <v>18.13</v>
      </c>
    </row>
    <row r="2357" spans="1:3" x14ac:dyDescent="0.55000000000000004">
      <c r="A2357" s="68">
        <v>206</v>
      </c>
      <c r="C2357" s="68">
        <v>17.760000000000002</v>
      </c>
    </row>
    <row r="2358" spans="1:3" x14ac:dyDescent="0.55000000000000004">
      <c r="A2358" s="68">
        <v>206</v>
      </c>
      <c r="C2358" s="68">
        <v>17.600000000000001</v>
      </c>
    </row>
    <row r="2359" spans="1:3" x14ac:dyDescent="0.55000000000000004">
      <c r="A2359" s="68">
        <v>206</v>
      </c>
      <c r="C2359" s="68">
        <v>17.510000000000002</v>
      </c>
    </row>
    <row r="2360" spans="1:3" x14ac:dyDescent="0.55000000000000004">
      <c r="A2360" s="68">
        <v>206</v>
      </c>
      <c r="C2360" s="68">
        <v>17.350000000000001</v>
      </c>
    </row>
    <row r="2361" spans="1:3" x14ac:dyDescent="0.55000000000000004">
      <c r="A2361" s="68">
        <v>206</v>
      </c>
      <c r="C2361" s="68">
        <v>17.350000000000001</v>
      </c>
    </row>
    <row r="2362" spans="1:3" x14ac:dyDescent="0.55000000000000004">
      <c r="A2362" s="68">
        <v>206</v>
      </c>
      <c r="C2362" s="68">
        <v>17.350000000000001</v>
      </c>
    </row>
    <row r="2363" spans="1:3" x14ac:dyDescent="0.55000000000000004">
      <c r="A2363" s="68">
        <v>206</v>
      </c>
      <c r="C2363" s="68">
        <v>17.100000000000001</v>
      </c>
    </row>
    <row r="2364" spans="1:3" x14ac:dyDescent="0.55000000000000004">
      <c r="A2364" s="68">
        <v>206</v>
      </c>
      <c r="C2364" s="68">
        <v>16.850000000000001</v>
      </c>
    </row>
    <row r="2365" spans="1:3" x14ac:dyDescent="0.55000000000000004">
      <c r="A2365" s="68">
        <v>206</v>
      </c>
      <c r="C2365" s="68">
        <v>16.850000000000001</v>
      </c>
    </row>
    <row r="2366" spans="1:3" x14ac:dyDescent="0.55000000000000004">
      <c r="A2366" s="68">
        <v>206</v>
      </c>
      <c r="C2366" s="68">
        <v>16.850000000000001</v>
      </c>
    </row>
    <row r="2367" spans="1:3" x14ac:dyDescent="0.55000000000000004">
      <c r="A2367" s="68">
        <v>206</v>
      </c>
      <c r="C2367" s="68">
        <v>16.850000000000001</v>
      </c>
    </row>
    <row r="2368" spans="1:3" x14ac:dyDescent="0.55000000000000004">
      <c r="A2368" s="68">
        <v>206</v>
      </c>
      <c r="C2368" s="68">
        <v>16.72</v>
      </c>
    </row>
    <row r="2369" spans="1:3" x14ac:dyDescent="0.55000000000000004">
      <c r="A2369" s="68">
        <v>206</v>
      </c>
      <c r="C2369" s="68">
        <v>16.72</v>
      </c>
    </row>
    <row r="2370" spans="1:3" x14ac:dyDescent="0.55000000000000004">
      <c r="A2370" s="68">
        <v>206</v>
      </c>
      <c r="C2370" s="68">
        <v>16.72</v>
      </c>
    </row>
    <row r="2371" spans="1:3" x14ac:dyDescent="0.55000000000000004">
      <c r="A2371" s="68">
        <v>206</v>
      </c>
      <c r="C2371" s="68">
        <v>16.489999999999998</v>
      </c>
    </row>
    <row r="2372" spans="1:3" x14ac:dyDescent="0.55000000000000004">
      <c r="A2372" s="68">
        <v>206</v>
      </c>
      <c r="C2372" s="68">
        <v>16.47</v>
      </c>
    </row>
    <row r="2373" spans="1:3" x14ac:dyDescent="0.55000000000000004">
      <c r="A2373" s="68">
        <v>206</v>
      </c>
      <c r="C2373" s="68">
        <v>16.47</v>
      </c>
    </row>
    <row r="2374" spans="1:3" x14ac:dyDescent="0.55000000000000004">
      <c r="A2374" s="68">
        <v>206</v>
      </c>
      <c r="C2374" s="68">
        <v>16.46</v>
      </c>
    </row>
    <row r="2375" spans="1:3" x14ac:dyDescent="0.55000000000000004">
      <c r="A2375" s="68">
        <v>206</v>
      </c>
      <c r="C2375" s="68">
        <v>16.22</v>
      </c>
    </row>
    <row r="2376" spans="1:3" x14ac:dyDescent="0.55000000000000004">
      <c r="A2376" s="68">
        <v>206</v>
      </c>
      <c r="C2376" s="68">
        <v>16.21</v>
      </c>
    </row>
    <row r="2377" spans="1:3" x14ac:dyDescent="0.55000000000000004">
      <c r="A2377" s="68">
        <v>206</v>
      </c>
      <c r="C2377" s="68">
        <v>20.77</v>
      </c>
    </row>
    <row r="2378" spans="1:3" x14ac:dyDescent="0.55000000000000004">
      <c r="A2378" s="68">
        <v>206</v>
      </c>
      <c r="C2378" s="68">
        <v>20.05</v>
      </c>
    </row>
    <row r="2379" spans="1:3" x14ac:dyDescent="0.55000000000000004">
      <c r="A2379" s="68">
        <v>206</v>
      </c>
      <c r="C2379" s="68">
        <v>20.05</v>
      </c>
    </row>
    <row r="2380" spans="1:3" x14ac:dyDescent="0.55000000000000004">
      <c r="A2380" s="68">
        <v>206</v>
      </c>
      <c r="C2380" s="68">
        <v>20.05</v>
      </c>
    </row>
    <row r="2381" spans="1:3" x14ac:dyDescent="0.55000000000000004">
      <c r="A2381" s="68">
        <v>206</v>
      </c>
      <c r="C2381" s="68">
        <v>20.05</v>
      </c>
    </row>
    <row r="2382" spans="1:3" x14ac:dyDescent="0.55000000000000004">
      <c r="A2382" s="68">
        <v>206</v>
      </c>
      <c r="C2382" s="68">
        <v>20.05</v>
      </c>
    </row>
    <row r="2383" spans="1:3" x14ac:dyDescent="0.55000000000000004">
      <c r="A2383" s="68">
        <v>206</v>
      </c>
      <c r="C2383" s="68">
        <v>19.43</v>
      </c>
    </row>
    <row r="2384" spans="1:3" x14ac:dyDescent="0.55000000000000004">
      <c r="A2384" s="68">
        <v>206</v>
      </c>
      <c r="C2384" s="68">
        <v>19.07</v>
      </c>
    </row>
    <row r="2385" spans="1:3" x14ac:dyDescent="0.55000000000000004">
      <c r="A2385" s="68">
        <v>206</v>
      </c>
      <c r="C2385" s="68">
        <v>19.05</v>
      </c>
    </row>
    <row r="2386" spans="1:3" x14ac:dyDescent="0.55000000000000004">
      <c r="A2386" s="68">
        <v>206</v>
      </c>
      <c r="C2386" s="68">
        <v>18.55</v>
      </c>
    </row>
    <row r="2387" spans="1:3" x14ac:dyDescent="0.55000000000000004">
      <c r="A2387" s="68">
        <v>206</v>
      </c>
      <c r="C2387" s="68">
        <v>18.55</v>
      </c>
    </row>
    <row r="2388" spans="1:3" x14ac:dyDescent="0.55000000000000004">
      <c r="A2388" s="68">
        <v>206</v>
      </c>
      <c r="C2388" s="68">
        <v>18.55</v>
      </c>
    </row>
    <row r="2389" spans="1:3" x14ac:dyDescent="0.55000000000000004">
      <c r="A2389" s="68">
        <v>206</v>
      </c>
      <c r="C2389" s="68">
        <v>18.05</v>
      </c>
    </row>
    <row r="2390" spans="1:3" x14ac:dyDescent="0.55000000000000004">
      <c r="A2390" s="68">
        <v>206</v>
      </c>
      <c r="C2390" s="68">
        <v>18.010000000000002</v>
      </c>
    </row>
    <row r="2391" spans="1:3" x14ac:dyDescent="0.55000000000000004">
      <c r="A2391" s="68">
        <v>206</v>
      </c>
      <c r="C2391" s="68">
        <v>17.670000000000002</v>
      </c>
    </row>
    <row r="2392" spans="1:3" x14ac:dyDescent="0.55000000000000004">
      <c r="A2392" s="68">
        <v>206</v>
      </c>
      <c r="C2392" s="68">
        <v>17.510000000000002</v>
      </c>
    </row>
    <row r="2393" spans="1:3" x14ac:dyDescent="0.55000000000000004">
      <c r="A2393" s="68">
        <v>206</v>
      </c>
      <c r="C2393" s="68">
        <v>17.350000000000001</v>
      </c>
    </row>
    <row r="2394" spans="1:3" x14ac:dyDescent="0.55000000000000004">
      <c r="A2394" s="68">
        <v>206</v>
      </c>
      <c r="C2394" s="68">
        <v>17.18</v>
      </c>
    </row>
    <row r="2395" spans="1:3" x14ac:dyDescent="0.55000000000000004">
      <c r="A2395" s="68">
        <v>206</v>
      </c>
      <c r="C2395" s="68">
        <v>17.100000000000001</v>
      </c>
    </row>
    <row r="2396" spans="1:3" x14ac:dyDescent="0.55000000000000004">
      <c r="A2396" s="68">
        <v>206</v>
      </c>
      <c r="C2396" s="68">
        <v>17.100000000000001</v>
      </c>
    </row>
    <row r="2397" spans="1:3" x14ac:dyDescent="0.55000000000000004">
      <c r="A2397" s="68">
        <v>206</v>
      </c>
      <c r="C2397" s="68">
        <v>17.100000000000001</v>
      </c>
    </row>
    <row r="2398" spans="1:3" x14ac:dyDescent="0.55000000000000004">
      <c r="A2398" s="68">
        <v>206</v>
      </c>
      <c r="C2398" s="68">
        <v>16.850000000000001</v>
      </c>
    </row>
    <row r="2399" spans="1:3" x14ac:dyDescent="0.55000000000000004">
      <c r="A2399" s="68">
        <v>206</v>
      </c>
      <c r="C2399" s="68">
        <v>16.850000000000001</v>
      </c>
    </row>
    <row r="2400" spans="1:3" x14ac:dyDescent="0.55000000000000004">
      <c r="A2400" s="68">
        <v>206</v>
      </c>
      <c r="C2400" s="68">
        <v>16.23</v>
      </c>
    </row>
    <row r="2401" spans="1:3" x14ac:dyDescent="0.55000000000000004">
      <c r="A2401" s="68">
        <v>926</v>
      </c>
      <c r="C2401" s="68">
        <v>22.1</v>
      </c>
    </row>
    <row r="2402" spans="1:3" x14ac:dyDescent="0.55000000000000004">
      <c r="A2402" s="68">
        <v>926</v>
      </c>
      <c r="C2402" s="68">
        <v>20.5</v>
      </c>
    </row>
    <row r="2403" spans="1:3" x14ac:dyDescent="0.55000000000000004">
      <c r="A2403" s="68">
        <v>926</v>
      </c>
      <c r="C2403" s="68">
        <v>20.46</v>
      </c>
    </row>
    <row r="2404" spans="1:3" x14ac:dyDescent="0.55000000000000004">
      <c r="A2404" s="68">
        <v>926</v>
      </c>
      <c r="C2404" s="68">
        <v>20.39</v>
      </c>
    </row>
    <row r="2405" spans="1:3" x14ac:dyDescent="0.55000000000000004">
      <c r="A2405" s="68">
        <v>926</v>
      </c>
      <c r="C2405" s="68">
        <v>19.96</v>
      </c>
    </row>
    <row r="2406" spans="1:3" x14ac:dyDescent="0.55000000000000004">
      <c r="A2406" s="68">
        <v>926</v>
      </c>
      <c r="C2406" s="68">
        <v>19.690000000000001</v>
      </c>
    </row>
    <row r="2407" spans="1:3" x14ac:dyDescent="0.55000000000000004">
      <c r="A2407" s="68">
        <v>926</v>
      </c>
      <c r="C2407" s="68">
        <v>19.690000000000001</v>
      </c>
    </row>
    <row r="2408" spans="1:3" x14ac:dyDescent="0.55000000000000004">
      <c r="A2408" s="68">
        <v>926</v>
      </c>
      <c r="C2408" s="68">
        <v>19.54</v>
      </c>
    </row>
    <row r="2409" spans="1:3" x14ac:dyDescent="0.55000000000000004">
      <c r="A2409" s="68">
        <v>926</v>
      </c>
      <c r="C2409" s="68">
        <v>19.32</v>
      </c>
    </row>
    <row r="2410" spans="1:3" x14ac:dyDescent="0.55000000000000004">
      <c r="A2410" s="68">
        <v>926</v>
      </c>
      <c r="C2410" s="68">
        <v>19.32</v>
      </c>
    </row>
    <row r="2411" spans="1:3" x14ac:dyDescent="0.55000000000000004">
      <c r="A2411" s="68">
        <v>926</v>
      </c>
      <c r="C2411" s="68">
        <v>19.32</v>
      </c>
    </row>
    <row r="2412" spans="1:3" x14ac:dyDescent="0.55000000000000004">
      <c r="A2412" s="68">
        <v>926</v>
      </c>
      <c r="C2412" s="68">
        <v>19.32</v>
      </c>
    </row>
    <row r="2413" spans="1:3" x14ac:dyDescent="0.55000000000000004">
      <c r="A2413" s="68">
        <v>926</v>
      </c>
      <c r="C2413" s="68">
        <v>18.989999999999998</v>
      </c>
    </row>
    <row r="2414" spans="1:3" x14ac:dyDescent="0.55000000000000004">
      <c r="A2414" s="68">
        <v>926</v>
      </c>
      <c r="C2414" s="68">
        <v>18.89</v>
      </c>
    </row>
    <row r="2415" spans="1:3" x14ac:dyDescent="0.55000000000000004">
      <c r="A2415" s="68">
        <v>926</v>
      </c>
      <c r="C2415" s="68">
        <v>18.89</v>
      </c>
    </row>
    <row r="2416" spans="1:3" x14ac:dyDescent="0.55000000000000004">
      <c r="A2416" s="68">
        <v>926</v>
      </c>
      <c r="C2416" s="68">
        <v>18.79</v>
      </c>
    </row>
    <row r="2417" spans="1:3" x14ac:dyDescent="0.55000000000000004">
      <c r="A2417" s="68">
        <v>926</v>
      </c>
      <c r="C2417" s="68">
        <v>18.79</v>
      </c>
    </row>
    <row r="2418" spans="1:3" x14ac:dyDescent="0.55000000000000004">
      <c r="A2418" s="68">
        <v>926</v>
      </c>
      <c r="C2418" s="68">
        <v>18.79</v>
      </c>
    </row>
    <row r="2419" spans="1:3" x14ac:dyDescent="0.55000000000000004">
      <c r="A2419" s="68">
        <v>926</v>
      </c>
      <c r="C2419" s="68">
        <v>18.79</v>
      </c>
    </row>
    <row r="2420" spans="1:3" x14ac:dyDescent="0.55000000000000004">
      <c r="A2420" s="68">
        <v>926</v>
      </c>
      <c r="C2420" s="68">
        <v>18.79</v>
      </c>
    </row>
    <row r="2421" spans="1:3" x14ac:dyDescent="0.55000000000000004">
      <c r="A2421" s="68">
        <v>926</v>
      </c>
      <c r="C2421" s="68">
        <v>18.79</v>
      </c>
    </row>
    <row r="2422" spans="1:3" x14ac:dyDescent="0.55000000000000004">
      <c r="A2422" s="68">
        <v>926</v>
      </c>
      <c r="C2422" s="68">
        <v>18.79</v>
      </c>
    </row>
    <row r="2423" spans="1:3" x14ac:dyDescent="0.55000000000000004">
      <c r="A2423" s="68">
        <v>926</v>
      </c>
      <c r="C2423" s="68">
        <v>18.670000000000002</v>
      </c>
    </row>
    <row r="2424" spans="1:3" x14ac:dyDescent="0.55000000000000004">
      <c r="A2424" s="68">
        <v>926</v>
      </c>
      <c r="C2424" s="68">
        <v>18.670000000000002</v>
      </c>
    </row>
    <row r="2425" spans="1:3" x14ac:dyDescent="0.55000000000000004">
      <c r="A2425" s="68">
        <v>926</v>
      </c>
      <c r="C2425" s="68">
        <v>18.670000000000002</v>
      </c>
    </row>
    <row r="2426" spans="1:3" x14ac:dyDescent="0.55000000000000004">
      <c r="A2426" s="68">
        <v>926</v>
      </c>
      <c r="C2426" s="68">
        <v>18.670000000000002</v>
      </c>
    </row>
    <row r="2427" spans="1:3" x14ac:dyDescent="0.55000000000000004">
      <c r="A2427" s="68">
        <v>926</v>
      </c>
      <c r="C2427" s="68">
        <v>18.41</v>
      </c>
    </row>
    <row r="2428" spans="1:3" x14ac:dyDescent="0.55000000000000004">
      <c r="A2428" s="68">
        <v>926</v>
      </c>
      <c r="C2428" s="68">
        <v>18.41</v>
      </c>
    </row>
    <row r="2429" spans="1:3" x14ac:dyDescent="0.55000000000000004">
      <c r="A2429" s="68">
        <v>926</v>
      </c>
      <c r="C2429" s="68">
        <v>18.41</v>
      </c>
    </row>
    <row r="2430" spans="1:3" x14ac:dyDescent="0.55000000000000004">
      <c r="A2430" s="68">
        <v>926</v>
      </c>
      <c r="C2430" s="68">
        <v>18.41</v>
      </c>
    </row>
    <row r="2431" spans="1:3" x14ac:dyDescent="0.55000000000000004">
      <c r="A2431" s="68">
        <v>926</v>
      </c>
      <c r="C2431" s="68">
        <v>18.41</v>
      </c>
    </row>
    <row r="2432" spans="1:3" x14ac:dyDescent="0.55000000000000004">
      <c r="A2432" s="68">
        <v>926</v>
      </c>
      <c r="C2432" s="68">
        <v>18.41</v>
      </c>
    </row>
    <row r="2433" spans="1:3" x14ac:dyDescent="0.55000000000000004">
      <c r="A2433" s="68">
        <v>926</v>
      </c>
      <c r="C2433" s="68">
        <v>17.77</v>
      </c>
    </row>
    <row r="2434" spans="1:3" x14ac:dyDescent="0.55000000000000004">
      <c r="A2434" s="68">
        <v>926</v>
      </c>
      <c r="C2434" s="68">
        <v>17.760000000000002</v>
      </c>
    </row>
    <row r="2435" spans="1:3" x14ac:dyDescent="0.55000000000000004">
      <c r="A2435" s="68">
        <v>926</v>
      </c>
      <c r="C2435" s="68">
        <v>16.5</v>
      </c>
    </row>
    <row r="2436" spans="1:3" x14ac:dyDescent="0.55000000000000004">
      <c r="A2436" s="68">
        <v>926</v>
      </c>
      <c r="C2436" s="68">
        <v>16.5</v>
      </c>
    </row>
    <row r="2437" spans="1:3" x14ac:dyDescent="0.55000000000000004">
      <c r="A2437" s="68">
        <v>926</v>
      </c>
      <c r="C2437" s="68">
        <v>16.5</v>
      </c>
    </row>
    <row r="2438" spans="1:3" x14ac:dyDescent="0.55000000000000004">
      <c r="A2438" s="68">
        <v>540</v>
      </c>
      <c r="C2438" s="68">
        <v>20.66</v>
      </c>
    </row>
    <row r="2439" spans="1:3" x14ac:dyDescent="0.55000000000000004">
      <c r="A2439" s="68">
        <v>540</v>
      </c>
      <c r="C2439" s="68">
        <v>27.97</v>
      </c>
    </row>
    <row r="2440" spans="1:3" x14ac:dyDescent="0.55000000000000004">
      <c r="A2440" s="68">
        <v>540</v>
      </c>
      <c r="C2440" s="68">
        <v>27.01</v>
      </c>
    </row>
    <row r="2441" spans="1:3" x14ac:dyDescent="0.55000000000000004">
      <c r="A2441" s="68">
        <v>540</v>
      </c>
      <c r="C2441" s="68">
        <v>25.94</v>
      </c>
    </row>
    <row r="2442" spans="1:3" x14ac:dyDescent="0.55000000000000004">
      <c r="A2442" s="68">
        <v>540</v>
      </c>
      <c r="C2442" s="68">
        <v>19.62</v>
      </c>
    </row>
    <row r="2443" spans="1:3" x14ac:dyDescent="0.55000000000000004">
      <c r="A2443" s="68">
        <v>540</v>
      </c>
      <c r="C2443" s="68">
        <v>18.45</v>
      </c>
    </row>
    <row r="2444" spans="1:3" x14ac:dyDescent="0.55000000000000004">
      <c r="A2444" s="68">
        <v>540</v>
      </c>
      <c r="C2444" s="68">
        <v>23.06</v>
      </c>
    </row>
    <row r="2445" spans="1:3" x14ac:dyDescent="0.55000000000000004">
      <c r="A2445" s="68">
        <v>540</v>
      </c>
      <c r="C2445" s="68">
        <v>26.97</v>
      </c>
    </row>
    <row r="2446" spans="1:3" x14ac:dyDescent="0.55000000000000004">
      <c r="A2446" s="68">
        <v>540</v>
      </c>
      <c r="C2446" s="68">
        <v>19</v>
      </c>
    </row>
    <row r="2447" spans="1:3" x14ac:dyDescent="0.55000000000000004">
      <c r="A2447" s="68">
        <v>540</v>
      </c>
      <c r="C2447" s="68">
        <v>25.62</v>
      </c>
    </row>
    <row r="2448" spans="1:3" x14ac:dyDescent="0.55000000000000004">
      <c r="A2448" s="68">
        <v>540</v>
      </c>
      <c r="C2448" s="68">
        <v>18.829999999999998</v>
      </c>
    </row>
    <row r="2449" spans="1:3" x14ac:dyDescent="0.55000000000000004">
      <c r="A2449" s="68">
        <v>540</v>
      </c>
      <c r="C2449" s="68">
        <v>22.72</v>
      </c>
    </row>
    <row r="2450" spans="1:3" x14ac:dyDescent="0.55000000000000004">
      <c r="A2450" s="68">
        <v>540</v>
      </c>
      <c r="C2450" s="68">
        <v>25.29</v>
      </c>
    </row>
    <row r="2451" spans="1:3" x14ac:dyDescent="0.55000000000000004">
      <c r="A2451" s="68">
        <v>540</v>
      </c>
      <c r="C2451" s="68">
        <v>19.52</v>
      </c>
    </row>
    <row r="2452" spans="1:3" x14ac:dyDescent="0.55000000000000004">
      <c r="A2452" s="68">
        <v>540</v>
      </c>
      <c r="C2452" s="68">
        <v>24.09</v>
      </c>
    </row>
    <row r="2453" spans="1:3" x14ac:dyDescent="0.55000000000000004">
      <c r="A2453" s="68">
        <v>540</v>
      </c>
      <c r="C2453" s="68">
        <v>24.09</v>
      </c>
    </row>
    <row r="2454" spans="1:3" x14ac:dyDescent="0.55000000000000004">
      <c r="A2454" s="68">
        <v>540</v>
      </c>
      <c r="C2454" s="68">
        <v>25.73</v>
      </c>
    </row>
    <row r="2455" spans="1:3" x14ac:dyDescent="0.55000000000000004">
      <c r="A2455" s="68">
        <v>540</v>
      </c>
      <c r="C2455" s="68">
        <v>25.73</v>
      </c>
    </row>
    <row r="2456" spans="1:3" x14ac:dyDescent="0.55000000000000004">
      <c r="A2456" s="68">
        <v>540</v>
      </c>
      <c r="C2456" s="68">
        <v>24.82</v>
      </c>
    </row>
    <row r="2457" spans="1:3" x14ac:dyDescent="0.55000000000000004">
      <c r="A2457" s="68">
        <v>540</v>
      </c>
      <c r="C2457" s="68">
        <v>24.09</v>
      </c>
    </row>
    <row r="2458" spans="1:3" x14ac:dyDescent="0.55000000000000004">
      <c r="A2458" s="68">
        <v>540</v>
      </c>
      <c r="C2458" s="68">
        <v>20.34</v>
      </c>
    </row>
    <row r="2459" spans="1:3" x14ac:dyDescent="0.55000000000000004">
      <c r="A2459" s="68">
        <v>540</v>
      </c>
      <c r="C2459" s="68">
        <v>18.72</v>
      </c>
    </row>
    <row r="2460" spans="1:3" x14ac:dyDescent="0.55000000000000004">
      <c r="A2460" s="68">
        <v>540</v>
      </c>
      <c r="C2460" s="68">
        <v>21.75</v>
      </c>
    </row>
    <row r="2461" spans="1:3" x14ac:dyDescent="0.55000000000000004">
      <c r="A2461" s="68">
        <v>540</v>
      </c>
      <c r="C2461" s="68">
        <v>27.44</v>
      </c>
    </row>
    <row r="2462" spans="1:3" x14ac:dyDescent="0.55000000000000004">
      <c r="A2462" s="68">
        <v>540</v>
      </c>
      <c r="C2462" s="68">
        <v>21.75</v>
      </c>
    </row>
    <row r="2463" spans="1:3" x14ac:dyDescent="0.55000000000000004">
      <c r="A2463" s="68">
        <v>540</v>
      </c>
      <c r="C2463" s="68">
        <v>23.59</v>
      </c>
    </row>
    <row r="2464" spans="1:3" x14ac:dyDescent="0.55000000000000004">
      <c r="A2464" s="68">
        <v>540</v>
      </c>
      <c r="C2464" s="68">
        <v>21.75</v>
      </c>
    </row>
    <row r="2465" spans="1:3" x14ac:dyDescent="0.55000000000000004">
      <c r="A2465" s="68">
        <v>540</v>
      </c>
      <c r="C2465" s="68">
        <v>24.09</v>
      </c>
    </row>
    <row r="2466" spans="1:3" x14ac:dyDescent="0.55000000000000004">
      <c r="A2466" s="68">
        <v>540</v>
      </c>
      <c r="C2466" s="68">
        <v>26.69</v>
      </c>
    </row>
    <row r="2467" spans="1:3" x14ac:dyDescent="0.55000000000000004">
      <c r="A2467" s="68">
        <v>540</v>
      </c>
      <c r="C2467" s="68">
        <v>29.39</v>
      </c>
    </row>
    <row r="2468" spans="1:3" x14ac:dyDescent="0.55000000000000004">
      <c r="A2468" s="68">
        <v>540</v>
      </c>
      <c r="C2468" s="68">
        <v>24.09</v>
      </c>
    </row>
    <row r="2469" spans="1:3" x14ac:dyDescent="0.55000000000000004">
      <c r="A2469" s="68">
        <v>540</v>
      </c>
      <c r="C2469" s="68">
        <v>24.09</v>
      </c>
    </row>
    <row r="2470" spans="1:3" x14ac:dyDescent="0.55000000000000004">
      <c r="A2470" s="68">
        <v>540</v>
      </c>
      <c r="C2470" s="68">
        <v>24.09</v>
      </c>
    </row>
    <row r="2471" spans="1:3" x14ac:dyDescent="0.55000000000000004">
      <c r="A2471" s="68">
        <v>540</v>
      </c>
      <c r="C2471" s="68">
        <v>19.670000000000002</v>
      </c>
    </row>
    <row r="2472" spans="1:3" x14ac:dyDescent="0.55000000000000004">
      <c r="A2472" s="68">
        <v>540</v>
      </c>
      <c r="C2472" s="68">
        <v>24.09</v>
      </c>
    </row>
    <row r="2473" spans="1:3" x14ac:dyDescent="0.55000000000000004">
      <c r="A2473" s="68">
        <v>540</v>
      </c>
      <c r="C2473" s="68">
        <v>23.55</v>
      </c>
    </row>
    <row r="2474" spans="1:3" x14ac:dyDescent="0.55000000000000004">
      <c r="A2474" s="68">
        <v>540</v>
      </c>
      <c r="C2474" s="68">
        <v>24.09</v>
      </c>
    </row>
    <row r="2475" spans="1:3" x14ac:dyDescent="0.55000000000000004">
      <c r="A2475" s="68">
        <v>540</v>
      </c>
      <c r="C2475" s="68">
        <v>20.66</v>
      </c>
    </row>
    <row r="2476" spans="1:3" x14ac:dyDescent="0.55000000000000004">
      <c r="A2476" s="68">
        <v>540</v>
      </c>
      <c r="C2476" s="68">
        <v>27.18</v>
      </c>
    </row>
    <row r="2477" spans="1:3" x14ac:dyDescent="0.55000000000000004">
      <c r="A2477" s="68">
        <v>540</v>
      </c>
      <c r="C2477" s="68">
        <v>26.56</v>
      </c>
    </row>
    <row r="2478" spans="1:3" x14ac:dyDescent="0.55000000000000004">
      <c r="A2478" s="68">
        <v>540</v>
      </c>
      <c r="C2478" s="68">
        <v>20.32</v>
      </c>
    </row>
    <row r="2479" spans="1:3" x14ac:dyDescent="0.55000000000000004">
      <c r="A2479" s="68">
        <v>540</v>
      </c>
      <c r="C2479" s="68">
        <v>19.14</v>
      </c>
    </row>
    <row r="2480" spans="1:3" x14ac:dyDescent="0.55000000000000004">
      <c r="A2480" s="68">
        <v>540</v>
      </c>
      <c r="C2480" s="68">
        <v>24.09</v>
      </c>
    </row>
    <row r="2481" spans="1:3" x14ac:dyDescent="0.55000000000000004">
      <c r="A2481" s="68">
        <v>540</v>
      </c>
      <c r="C2481" s="68">
        <v>21.49</v>
      </c>
    </row>
    <row r="2482" spans="1:3" x14ac:dyDescent="0.55000000000000004">
      <c r="A2482" s="68">
        <v>540</v>
      </c>
      <c r="C2482" s="68">
        <v>22.91</v>
      </c>
    </row>
    <row r="2483" spans="1:3" x14ac:dyDescent="0.55000000000000004">
      <c r="A2483" s="68">
        <v>540</v>
      </c>
      <c r="C2483" s="68">
        <v>24.09</v>
      </c>
    </row>
    <row r="2484" spans="1:3" x14ac:dyDescent="0.55000000000000004">
      <c r="A2484" s="68">
        <v>540</v>
      </c>
      <c r="C2484" s="68">
        <v>22.18</v>
      </c>
    </row>
    <row r="2485" spans="1:3" x14ac:dyDescent="0.55000000000000004">
      <c r="A2485" s="68">
        <v>540</v>
      </c>
      <c r="C2485" s="68">
        <v>18.45</v>
      </c>
    </row>
    <row r="2486" spans="1:3" x14ac:dyDescent="0.55000000000000004">
      <c r="A2486" s="68">
        <v>540</v>
      </c>
      <c r="C2486" s="68">
        <v>17</v>
      </c>
    </row>
    <row r="2487" spans="1:3" x14ac:dyDescent="0.55000000000000004">
      <c r="A2487" s="68">
        <v>142</v>
      </c>
      <c r="C2487" s="68">
        <v>19</v>
      </c>
    </row>
    <row r="2488" spans="1:3" x14ac:dyDescent="0.55000000000000004">
      <c r="A2488" s="68">
        <v>142</v>
      </c>
      <c r="C2488" s="68">
        <v>20.945599999999999</v>
      </c>
    </row>
    <row r="2489" spans="1:3" x14ac:dyDescent="0.55000000000000004">
      <c r="A2489" s="68">
        <v>142</v>
      </c>
      <c r="C2489" s="68">
        <v>19.957599999999999</v>
      </c>
    </row>
    <row r="2490" spans="1:3" x14ac:dyDescent="0.55000000000000004">
      <c r="A2490" s="68">
        <v>142</v>
      </c>
      <c r="C2490" s="68">
        <v>19.381900000000002</v>
      </c>
    </row>
    <row r="2491" spans="1:3" x14ac:dyDescent="0.55000000000000004">
      <c r="A2491" s="68">
        <v>142</v>
      </c>
      <c r="C2491" s="68">
        <v>20.155200000000001</v>
      </c>
    </row>
    <row r="2492" spans="1:3" x14ac:dyDescent="0.55000000000000004">
      <c r="A2492" s="68">
        <v>142</v>
      </c>
      <c r="C2492" s="68">
        <v>19</v>
      </c>
    </row>
    <row r="2493" spans="1:3" x14ac:dyDescent="0.55000000000000004">
      <c r="A2493" s="68">
        <v>142</v>
      </c>
      <c r="C2493" s="68">
        <v>23.6496</v>
      </c>
    </row>
    <row r="2494" spans="1:3" x14ac:dyDescent="0.55000000000000004">
      <c r="A2494" s="68">
        <v>142</v>
      </c>
      <c r="C2494" s="68">
        <v>17.220600000000001</v>
      </c>
    </row>
    <row r="2495" spans="1:3" x14ac:dyDescent="0.55000000000000004">
      <c r="A2495" s="68">
        <v>142</v>
      </c>
      <c r="C2495" s="68">
        <v>20.45</v>
      </c>
    </row>
    <row r="2496" spans="1:3" x14ac:dyDescent="0.55000000000000004">
      <c r="A2496" s="68">
        <v>142</v>
      </c>
      <c r="C2496" s="68">
        <v>23.6496</v>
      </c>
    </row>
    <row r="2497" spans="1:3" x14ac:dyDescent="0.55000000000000004">
      <c r="A2497" s="68">
        <v>142</v>
      </c>
      <c r="C2497" s="68">
        <v>19.381900000000002</v>
      </c>
    </row>
    <row r="2498" spans="1:3" x14ac:dyDescent="0.55000000000000004">
      <c r="A2498" s="68">
        <v>142</v>
      </c>
      <c r="C2498" s="68">
        <v>23.608000000000001</v>
      </c>
    </row>
    <row r="2499" spans="1:3" x14ac:dyDescent="0.55000000000000004">
      <c r="A2499" s="68">
        <v>142</v>
      </c>
      <c r="C2499" s="68">
        <v>19.86</v>
      </c>
    </row>
    <row r="2500" spans="1:3" x14ac:dyDescent="0.55000000000000004">
      <c r="A2500" s="68">
        <v>142</v>
      </c>
      <c r="C2500" s="68">
        <v>19.190000000000001</v>
      </c>
    </row>
    <row r="2501" spans="1:3" x14ac:dyDescent="0.55000000000000004">
      <c r="A2501" s="68">
        <v>142</v>
      </c>
      <c r="C2501" s="68">
        <v>20.37</v>
      </c>
    </row>
    <row r="2502" spans="1:3" x14ac:dyDescent="0.55000000000000004">
      <c r="A2502" s="68">
        <v>142</v>
      </c>
      <c r="C2502" s="68">
        <v>19.760000000000002</v>
      </c>
    </row>
    <row r="2503" spans="1:3" x14ac:dyDescent="0.55000000000000004">
      <c r="A2503" s="68">
        <v>142</v>
      </c>
      <c r="C2503" s="68">
        <v>20.37</v>
      </c>
    </row>
    <row r="2504" spans="1:3" x14ac:dyDescent="0.55000000000000004">
      <c r="A2504" s="68">
        <v>783</v>
      </c>
      <c r="C2504" s="68">
        <v>19.29</v>
      </c>
    </row>
    <row r="2505" spans="1:3" x14ac:dyDescent="0.55000000000000004">
      <c r="A2505" s="68">
        <v>783</v>
      </c>
      <c r="C2505" s="68">
        <v>17.82</v>
      </c>
    </row>
    <row r="2506" spans="1:3" x14ac:dyDescent="0.55000000000000004">
      <c r="A2506" s="68">
        <v>783</v>
      </c>
      <c r="C2506" s="68">
        <v>18.765000000000001</v>
      </c>
    </row>
    <row r="2507" spans="1:3" x14ac:dyDescent="0.55000000000000004">
      <c r="A2507" s="68">
        <v>783</v>
      </c>
      <c r="C2507" s="68">
        <v>18.7287</v>
      </c>
    </row>
    <row r="2508" spans="1:3" x14ac:dyDescent="0.55000000000000004">
      <c r="A2508" s="68">
        <v>783</v>
      </c>
      <c r="C2508" s="68">
        <v>18.579999999999998</v>
      </c>
    </row>
    <row r="2509" spans="1:3" x14ac:dyDescent="0.55000000000000004">
      <c r="A2509" s="68">
        <v>783</v>
      </c>
      <c r="C2509" s="68">
        <v>18.337900000000001</v>
      </c>
    </row>
    <row r="2510" spans="1:3" x14ac:dyDescent="0.55000000000000004">
      <c r="A2510" s="68">
        <v>783</v>
      </c>
      <c r="C2510" s="68">
        <v>18.506599999999999</v>
      </c>
    </row>
    <row r="2511" spans="1:3" x14ac:dyDescent="0.55000000000000004">
      <c r="A2511" s="68">
        <v>783</v>
      </c>
      <c r="C2511" s="68">
        <v>18.73</v>
      </c>
    </row>
    <row r="2512" spans="1:3" x14ac:dyDescent="0.55000000000000004">
      <c r="A2512" s="68">
        <v>783</v>
      </c>
      <c r="C2512" s="68">
        <v>17.82</v>
      </c>
    </row>
    <row r="2513" spans="1:3" x14ac:dyDescent="0.55000000000000004">
      <c r="A2513" s="68">
        <v>783</v>
      </c>
      <c r="C2513" s="68">
        <v>18.149999999999999</v>
      </c>
    </row>
    <row r="2514" spans="1:3" x14ac:dyDescent="0.55000000000000004">
      <c r="A2514" s="68">
        <v>783</v>
      </c>
      <c r="C2514" s="68">
        <v>23.8794</v>
      </c>
    </row>
    <row r="2515" spans="1:3" x14ac:dyDescent="0.55000000000000004">
      <c r="A2515" s="68">
        <v>783</v>
      </c>
      <c r="C2515" s="68">
        <v>22.899100000000001</v>
      </c>
    </row>
    <row r="2516" spans="1:3" x14ac:dyDescent="0.55000000000000004">
      <c r="A2516" s="68">
        <v>783</v>
      </c>
      <c r="C2516" s="68">
        <v>18.100000000000001</v>
      </c>
    </row>
    <row r="2517" spans="1:3" x14ac:dyDescent="0.55000000000000004">
      <c r="A2517" s="68">
        <v>783</v>
      </c>
      <c r="C2517" s="68">
        <v>19.86</v>
      </c>
    </row>
    <row r="2518" spans="1:3" x14ac:dyDescent="0.55000000000000004">
      <c r="A2518" s="68">
        <v>783</v>
      </c>
      <c r="C2518" s="68">
        <v>18.506599999999999</v>
      </c>
    </row>
    <row r="2519" spans="1:3" x14ac:dyDescent="0.55000000000000004">
      <c r="A2519" s="68">
        <v>783</v>
      </c>
      <c r="C2519" s="68">
        <v>18.47</v>
      </c>
    </row>
    <row r="2520" spans="1:3" x14ac:dyDescent="0.55000000000000004">
      <c r="A2520" s="68">
        <v>783</v>
      </c>
      <c r="C2520" s="68">
        <v>18.809999999999999</v>
      </c>
    </row>
    <row r="2521" spans="1:3" x14ac:dyDescent="0.55000000000000004">
      <c r="A2521" s="68">
        <v>783</v>
      </c>
      <c r="C2521" s="68">
        <v>17.82</v>
      </c>
    </row>
    <row r="2522" spans="1:3" x14ac:dyDescent="0.55000000000000004">
      <c r="A2522" s="68">
        <v>783</v>
      </c>
      <c r="C2522" s="68">
        <v>17.82</v>
      </c>
    </row>
    <row r="2523" spans="1:3" x14ac:dyDescent="0.55000000000000004">
      <c r="A2523" s="68">
        <v>783</v>
      </c>
      <c r="C2523" s="68">
        <v>18.100000000000001</v>
      </c>
    </row>
    <row r="2524" spans="1:3" x14ac:dyDescent="0.55000000000000004">
      <c r="A2524" s="68">
        <v>783</v>
      </c>
      <c r="C2524" s="68">
        <v>18.133900000000001</v>
      </c>
    </row>
    <row r="2525" spans="1:3" x14ac:dyDescent="0.55000000000000004">
      <c r="A2525" s="68">
        <v>783</v>
      </c>
      <c r="C2525" s="68">
        <v>18.094999999999999</v>
      </c>
    </row>
    <row r="2526" spans="1:3" x14ac:dyDescent="0.55000000000000004">
      <c r="A2526" s="68">
        <v>783</v>
      </c>
      <c r="C2526" s="68">
        <v>17.82</v>
      </c>
    </row>
    <row r="2527" spans="1:3" x14ac:dyDescent="0.55000000000000004">
      <c r="A2527" s="68">
        <v>783</v>
      </c>
      <c r="C2527" s="68">
        <v>18.149999999999999</v>
      </c>
    </row>
    <row r="2528" spans="1:3" x14ac:dyDescent="0.55000000000000004">
      <c r="A2528" s="68">
        <v>642</v>
      </c>
      <c r="C2528" s="68">
        <v>22.17</v>
      </c>
    </row>
    <row r="2529" spans="1:3" x14ac:dyDescent="0.55000000000000004">
      <c r="A2529" s="68">
        <v>642</v>
      </c>
      <c r="C2529" s="68">
        <v>16.079999999999998</v>
      </c>
    </row>
    <row r="2530" spans="1:3" x14ac:dyDescent="0.55000000000000004">
      <c r="A2530" s="68">
        <v>642</v>
      </c>
      <c r="C2530" s="68">
        <v>18.100000000000001</v>
      </c>
    </row>
    <row r="2531" spans="1:3" x14ac:dyDescent="0.55000000000000004">
      <c r="A2531" s="68">
        <v>642</v>
      </c>
      <c r="C2531" s="68">
        <v>17.079999999999998</v>
      </c>
    </row>
    <row r="2532" spans="1:3" x14ac:dyDescent="0.55000000000000004">
      <c r="A2532" s="68">
        <v>642</v>
      </c>
      <c r="C2532" s="68">
        <v>22.17</v>
      </c>
    </row>
    <row r="2533" spans="1:3" x14ac:dyDescent="0.55000000000000004">
      <c r="A2533" s="68">
        <v>642</v>
      </c>
      <c r="C2533" s="68">
        <v>22.17</v>
      </c>
    </row>
    <row r="2534" spans="1:3" x14ac:dyDescent="0.55000000000000004">
      <c r="A2534" s="68">
        <v>642</v>
      </c>
      <c r="C2534" s="68">
        <v>17.59</v>
      </c>
    </row>
    <row r="2535" spans="1:3" x14ac:dyDescent="0.55000000000000004">
      <c r="A2535" s="68">
        <v>642</v>
      </c>
      <c r="C2535" s="68">
        <v>22.17</v>
      </c>
    </row>
    <row r="2536" spans="1:3" x14ac:dyDescent="0.55000000000000004">
      <c r="A2536" s="68">
        <v>642</v>
      </c>
      <c r="C2536" s="68">
        <v>19.63</v>
      </c>
    </row>
    <row r="2537" spans="1:3" x14ac:dyDescent="0.55000000000000004">
      <c r="A2537" s="68">
        <v>642</v>
      </c>
      <c r="C2537" s="68">
        <v>17.59</v>
      </c>
    </row>
    <row r="2538" spans="1:3" x14ac:dyDescent="0.55000000000000004">
      <c r="A2538" s="68">
        <v>642</v>
      </c>
      <c r="C2538" s="68">
        <v>22.17</v>
      </c>
    </row>
    <row r="2539" spans="1:3" x14ac:dyDescent="0.55000000000000004">
      <c r="A2539" s="68">
        <v>642</v>
      </c>
      <c r="C2539" s="68">
        <v>19.12</v>
      </c>
    </row>
    <row r="2540" spans="1:3" x14ac:dyDescent="0.55000000000000004">
      <c r="A2540" s="68">
        <v>642</v>
      </c>
      <c r="C2540" s="68">
        <v>17.079999999999998</v>
      </c>
    </row>
    <row r="2541" spans="1:3" x14ac:dyDescent="0.55000000000000004">
      <c r="A2541" s="68">
        <v>642</v>
      </c>
      <c r="C2541" s="68">
        <v>17.079999999999998</v>
      </c>
    </row>
    <row r="2542" spans="1:3" x14ac:dyDescent="0.55000000000000004">
      <c r="A2542" s="68">
        <v>642</v>
      </c>
      <c r="C2542" s="68">
        <v>17.59</v>
      </c>
    </row>
    <row r="2543" spans="1:3" x14ac:dyDescent="0.55000000000000004">
      <c r="A2543" s="68">
        <v>642</v>
      </c>
      <c r="C2543" s="68">
        <v>21.16</v>
      </c>
    </row>
    <row r="2544" spans="1:3" x14ac:dyDescent="0.55000000000000004">
      <c r="A2544" s="68">
        <v>642</v>
      </c>
      <c r="C2544" s="68">
        <v>18.61</v>
      </c>
    </row>
    <row r="2545" spans="1:3" x14ac:dyDescent="0.55000000000000004">
      <c r="A2545" s="68">
        <v>642</v>
      </c>
      <c r="C2545" s="68">
        <v>17.61</v>
      </c>
    </row>
    <row r="2546" spans="1:3" x14ac:dyDescent="0.55000000000000004">
      <c r="A2546" s="68">
        <v>642</v>
      </c>
      <c r="C2546" s="68">
        <v>21.67</v>
      </c>
    </row>
    <row r="2547" spans="1:3" x14ac:dyDescent="0.55000000000000004">
      <c r="A2547" s="68">
        <v>642</v>
      </c>
      <c r="C2547" s="68">
        <v>17.079999999999998</v>
      </c>
    </row>
    <row r="2548" spans="1:3" x14ac:dyDescent="0.55000000000000004">
      <c r="A2548" s="68">
        <v>642</v>
      </c>
      <c r="C2548" s="68">
        <v>17.079999999999998</v>
      </c>
    </row>
    <row r="2549" spans="1:3" x14ac:dyDescent="0.55000000000000004">
      <c r="A2549" s="68">
        <v>642</v>
      </c>
      <c r="C2549" s="68">
        <v>21.67</v>
      </c>
    </row>
    <row r="2550" spans="1:3" x14ac:dyDescent="0.55000000000000004">
      <c r="A2550" s="68">
        <v>642</v>
      </c>
      <c r="C2550" s="68">
        <v>18.61</v>
      </c>
    </row>
    <row r="2551" spans="1:3" x14ac:dyDescent="0.55000000000000004">
      <c r="A2551" s="68">
        <v>642</v>
      </c>
      <c r="C2551" s="68">
        <v>22.17</v>
      </c>
    </row>
    <row r="2552" spans="1:3" x14ac:dyDescent="0.55000000000000004">
      <c r="A2552" s="68">
        <v>642</v>
      </c>
      <c r="C2552" s="68">
        <v>16.829999999999998</v>
      </c>
    </row>
    <row r="2553" spans="1:3" x14ac:dyDescent="0.55000000000000004">
      <c r="A2553" s="68">
        <v>642</v>
      </c>
      <c r="C2553" s="68">
        <v>21.67</v>
      </c>
    </row>
    <row r="2554" spans="1:3" x14ac:dyDescent="0.55000000000000004">
      <c r="A2554" s="68">
        <v>642</v>
      </c>
      <c r="C2554" s="68">
        <v>18.100000000000001</v>
      </c>
    </row>
    <row r="2555" spans="1:3" x14ac:dyDescent="0.55000000000000004">
      <c r="A2555" s="68">
        <v>642</v>
      </c>
      <c r="C2555" s="68">
        <v>17.59</v>
      </c>
    </row>
    <row r="2556" spans="1:3" x14ac:dyDescent="0.55000000000000004">
      <c r="A2556" s="68">
        <v>642</v>
      </c>
      <c r="C2556" s="68">
        <v>18.100000000000001</v>
      </c>
    </row>
    <row r="2557" spans="1:3" x14ac:dyDescent="0.55000000000000004">
      <c r="A2557" s="68">
        <v>642</v>
      </c>
      <c r="C2557" s="68">
        <v>20.65</v>
      </c>
    </row>
    <row r="2558" spans="1:3" x14ac:dyDescent="0.55000000000000004">
      <c r="A2558" s="68">
        <v>642</v>
      </c>
      <c r="C2558" s="68">
        <v>19.63</v>
      </c>
    </row>
    <row r="2559" spans="1:3" x14ac:dyDescent="0.55000000000000004">
      <c r="A2559" s="68">
        <v>642</v>
      </c>
      <c r="C2559" s="68">
        <v>16.079999999999998</v>
      </c>
    </row>
    <row r="2560" spans="1:3" x14ac:dyDescent="0.55000000000000004">
      <c r="A2560" s="68">
        <v>642</v>
      </c>
      <c r="C2560" s="68">
        <v>17.59</v>
      </c>
    </row>
    <row r="2561" spans="1:3" x14ac:dyDescent="0.55000000000000004">
      <c r="A2561" s="68">
        <v>642</v>
      </c>
      <c r="C2561" s="68">
        <v>18.100000000000001</v>
      </c>
    </row>
    <row r="2562" spans="1:3" x14ac:dyDescent="0.55000000000000004">
      <c r="A2562" s="68">
        <v>642</v>
      </c>
      <c r="C2562" s="68">
        <v>30</v>
      </c>
    </row>
    <row r="2563" spans="1:3" x14ac:dyDescent="0.55000000000000004">
      <c r="A2563" s="68">
        <v>642</v>
      </c>
      <c r="C2563" s="68">
        <v>19.12</v>
      </c>
    </row>
    <row r="2564" spans="1:3" x14ac:dyDescent="0.55000000000000004">
      <c r="A2564" s="68">
        <v>642</v>
      </c>
      <c r="C2564" s="68">
        <v>17.59</v>
      </c>
    </row>
    <row r="2565" spans="1:3" x14ac:dyDescent="0.55000000000000004">
      <c r="A2565" s="68">
        <v>642</v>
      </c>
      <c r="C2565" s="68">
        <v>17.59</v>
      </c>
    </row>
    <row r="2566" spans="1:3" x14ac:dyDescent="0.55000000000000004">
      <c r="A2566" s="68">
        <v>642</v>
      </c>
      <c r="C2566" s="68">
        <v>16.09</v>
      </c>
    </row>
    <row r="2567" spans="1:3" x14ac:dyDescent="0.55000000000000004">
      <c r="A2567" s="68">
        <v>642</v>
      </c>
      <c r="C2567" s="68">
        <v>17.079999999999998</v>
      </c>
    </row>
    <row r="2568" spans="1:3" x14ac:dyDescent="0.55000000000000004">
      <c r="A2568" s="68">
        <v>642</v>
      </c>
      <c r="C2568" s="68">
        <v>17.079999999999998</v>
      </c>
    </row>
    <row r="2569" spans="1:3" x14ac:dyDescent="0.55000000000000004">
      <c r="A2569" s="68">
        <v>642</v>
      </c>
      <c r="C2569" s="68">
        <v>22.17</v>
      </c>
    </row>
    <row r="2570" spans="1:3" x14ac:dyDescent="0.55000000000000004">
      <c r="A2570" s="68">
        <v>642</v>
      </c>
      <c r="C2570" s="68">
        <v>17.079999999999998</v>
      </c>
    </row>
    <row r="2571" spans="1:3" x14ac:dyDescent="0.55000000000000004">
      <c r="A2571" s="68">
        <v>642</v>
      </c>
      <c r="C2571" s="68">
        <v>21.25</v>
      </c>
    </row>
    <row r="2572" spans="1:3" x14ac:dyDescent="0.55000000000000004">
      <c r="A2572" s="68">
        <v>642</v>
      </c>
      <c r="C2572" s="68">
        <v>30</v>
      </c>
    </row>
    <row r="2573" spans="1:3" x14ac:dyDescent="0.55000000000000004">
      <c r="A2573" s="68">
        <v>642</v>
      </c>
      <c r="C2573" s="68">
        <v>18.12</v>
      </c>
    </row>
    <row r="2574" spans="1:3" x14ac:dyDescent="0.55000000000000004">
      <c r="A2574" s="68">
        <v>642</v>
      </c>
      <c r="C2574" s="68">
        <v>17.079999999999998</v>
      </c>
    </row>
    <row r="2575" spans="1:3" x14ac:dyDescent="0.55000000000000004">
      <c r="A2575" s="68">
        <v>642</v>
      </c>
      <c r="C2575" s="68">
        <v>17.079999999999998</v>
      </c>
    </row>
    <row r="2576" spans="1:3" x14ac:dyDescent="0.55000000000000004">
      <c r="A2576" s="68">
        <v>642</v>
      </c>
      <c r="C2576" s="68">
        <v>16.829999999999998</v>
      </c>
    </row>
    <row r="2577" spans="1:3" x14ac:dyDescent="0.55000000000000004">
      <c r="A2577" s="68">
        <v>642</v>
      </c>
      <c r="C2577" s="68">
        <v>22.17</v>
      </c>
    </row>
    <row r="2578" spans="1:3" x14ac:dyDescent="0.55000000000000004">
      <c r="A2578" s="68">
        <v>726</v>
      </c>
      <c r="C2578" s="68">
        <v>19.690000000000001</v>
      </c>
    </row>
    <row r="2579" spans="1:3" x14ac:dyDescent="0.55000000000000004">
      <c r="A2579" s="68">
        <v>726</v>
      </c>
      <c r="C2579" s="68">
        <v>19.43</v>
      </c>
    </row>
    <row r="2580" spans="1:3" x14ac:dyDescent="0.55000000000000004">
      <c r="A2580" s="68">
        <v>726</v>
      </c>
      <c r="C2580" s="68">
        <v>20.74</v>
      </c>
    </row>
    <row r="2581" spans="1:3" x14ac:dyDescent="0.55000000000000004">
      <c r="A2581" s="68">
        <v>726</v>
      </c>
      <c r="C2581" s="68">
        <v>20.74</v>
      </c>
    </row>
    <row r="2582" spans="1:3" x14ac:dyDescent="0.55000000000000004">
      <c r="A2582" s="68">
        <v>726</v>
      </c>
      <c r="C2582" s="68">
        <v>20.74</v>
      </c>
    </row>
    <row r="2583" spans="1:3" x14ac:dyDescent="0.55000000000000004">
      <c r="A2583" s="68">
        <v>726</v>
      </c>
      <c r="C2583" s="68">
        <v>19.149999999999999</v>
      </c>
    </row>
    <row r="2584" spans="1:3" x14ac:dyDescent="0.55000000000000004">
      <c r="A2584" s="68">
        <v>726</v>
      </c>
      <c r="C2584" s="68">
        <v>20.74</v>
      </c>
    </row>
    <row r="2585" spans="1:3" x14ac:dyDescent="0.55000000000000004">
      <c r="A2585" s="68">
        <v>726</v>
      </c>
      <c r="C2585" s="68">
        <v>20.170000000000002</v>
      </c>
    </row>
    <row r="2586" spans="1:3" x14ac:dyDescent="0.55000000000000004">
      <c r="A2586" s="68">
        <v>726</v>
      </c>
      <c r="C2586" s="68">
        <v>19.690000000000001</v>
      </c>
    </row>
    <row r="2587" spans="1:3" x14ac:dyDescent="0.55000000000000004">
      <c r="A2587" s="68">
        <v>726</v>
      </c>
      <c r="C2587" s="68">
        <v>20.74</v>
      </c>
    </row>
    <row r="2588" spans="1:3" x14ac:dyDescent="0.55000000000000004">
      <c r="A2588" s="68">
        <v>726</v>
      </c>
      <c r="C2588" s="68">
        <v>21.24</v>
      </c>
    </row>
    <row r="2589" spans="1:3" x14ac:dyDescent="0.55000000000000004">
      <c r="A2589" s="68">
        <v>726</v>
      </c>
      <c r="C2589" s="68">
        <v>18.18</v>
      </c>
    </row>
    <row r="2590" spans="1:3" x14ac:dyDescent="0.55000000000000004">
      <c r="A2590" s="68">
        <v>726</v>
      </c>
      <c r="C2590" s="68">
        <v>20.74</v>
      </c>
    </row>
    <row r="2591" spans="1:3" x14ac:dyDescent="0.55000000000000004">
      <c r="A2591" s="68">
        <v>726</v>
      </c>
      <c r="C2591" s="68">
        <v>21.04</v>
      </c>
    </row>
    <row r="2592" spans="1:3" x14ac:dyDescent="0.55000000000000004">
      <c r="A2592" s="68">
        <v>726</v>
      </c>
      <c r="C2592" s="68">
        <v>20.99</v>
      </c>
    </row>
    <row r="2593" spans="1:3" x14ac:dyDescent="0.55000000000000004">
      <c r="A2593" s="68">
        <v>726</v>
      </c>
      <c r="C2593" s="68">
        <v>18.53</v>
      </c>
    </row>
    <row r="2594" spans="1:3" x14ac:dyDescent="0.55000000000000004">
      <c r="A2594" s="68">
        <v>726</v>
      </c>
      <c r="C2594" s="68">
        <v>19.690000000000001</v>
      </c>
    </row>
    <row r="2595" spans="1:3" x14ac:dyDescent="0.55000000000000004">
      <c r="A2595" s="68">
        <v>726</v>
      </c>
      <c r="C2595" s="68">
        <v>19.43</v>
      </c>
    </row>
    <row r="2596" spans="1:3" x14ac:dyDescent="0.55000000000000004">
      <c r="A2596" s="68">
        <v>726</v>
      </c>
      <c r="C2596" s="68">
        <v>21.04</v>
      </c>
    </row>
    <row r="2597" spans="1:3" x14ac:dyDescent="0.55000000000000004">
      <c r="A2597" s="68">
        <v>288</v>
      </c>
      <c r="C2597" s="68">
        <v>23.1</v>
      </c>
    </row>
    <row r="2598" spans="1:3" x14ac:dyDescent="0.55000000000000004">
      <c r="A2598" s="68">
        <v>288</v>
      </c>
      <c r="C2598" s="68">
        <v>18.25</v>
      </c>
    </row>
    <row r="2599" spans="1:3" x14ac:dyDescent="0.55000000000000004">
      <c r="A2599" s="68">
        <v>288</v>
      </c>
      <c r="C2599" s="68">
        <v>20</v>
      </c>
    </row>
    <row r="2600" spans="1:3" x14ac:dyDescent="0.55000000000000004">
      <c r="A2600" s="68">
        <v>288</v>
      </c>
      <c r="C2600" s="68">
        <v>20</v>
      </c>
    </row>
    <row r="2601" spans="1:3" x14ac:dyDescent="0.55000000000000004">
      <c r="A2601" s="68">
        <v>288</v>
      </c>
      <c r="C2601" s="68">
        <v>19.75</v>
      </c>
    </row>
    <row r="2602" spans="1:3" x14ac:dyDescent="0.55000000000000004">
      <c r="A2602" s="68">
        <v>288</v>
      </c>
      <c r="C2602" s="68">
        <v>21.76</v>
      </c>
    </row>
    <row r="2603" spans="1:3" x14ac:dyDescent="0.55000000000000004">
      <c r="A2603" s="68">
        <v>288</v>
      </c>
      <c r="C2603" s="68">
        <v>20</v>
      </c>
    </row>
    <row r="2604" spans="1:3" x14ac:dyDescent="0.55000000000000004">
      <c r="A2604" s="68">
        <v>288</v>
      </c>
      <c r="C2604" s="68">
        <v>23.94</v>
      </c>
    </row>
    <row r="2605" spans="1:3" x14ac:dyDescent="0.55000000000000004">
      <c r="A2605" s="68">
        <v>288</v>
      </c>
      <c r="C2605" s="68">
        <v>22.24</v>
      </c>
    </row>
    <row r="2606" spans="1:3" x14ac:dyDescent="0.55000000000000004">
      <c r="A2606" s="68">
        <v>288</v>
      </c>
      <c r="C2606" s="68">
        <v>23.36</v>
      </c>
    </row>
    <row r="2607" spans="1:3" x14ac:dyDescent="0.55000000000000004">
      <c r="A2607" s="68">
        <v>288</v>
      </c>
      <c r="C2607" s="68">
        <v>24.01</v>
      </c>
    </row>
    <row r="2608" spans="1:3" x14ac:dyDescent="0.55000000000000004">
      <c r="A2608" s="68">
        <v>288</v>
      </c>
      <c r="C2608" s="68">
        <v>22.24</v>
      </c>
    </row>
    <row r="2609" spans="1:3" x14ac:dyDescent="0.55000000000000004">
      <c r="A2609" s="68">
        <v>288</v>
      </c>
      <c r="C2609" s="68">
        <v>22.85</v>
      </c>
    </row>
    <row r="2610" spans="1:3" x14ac:dyDescent="0.55000000000000004">
      <c r="A2610" s="68">
        <v>646</v>
      </c>
      <c r="C2610" s="68">
        <v>22.64</v>
      </c>
    </row>
    <row r="2611" spans="1:3" x14ac:dyDescent="0.55000000000000004">
      <c r="A2611" s="68">
        <v>646</v>
      </c>
      <c r="C2611" s="68">
        <v>22.64</v>
      </c>
    </row>
    <row r="2612" spans="1:3" x14ac:dyDescent="0.55000000000000004">
      <c r="A2612" s="68">
        <v>646</v>
      </c>
      <c r="C2612" s="68">
        <v>22.64</v>
      </c>
    </row>
    <row r="2613" spans="1:3" x14ac:dyDescent="0.55000000000000004">
      <c r="A2613" s="68">
        <v>646</v>
      </c>
      <c r="C2613" s="68">
        <v>22.64</v>
      </c>
    </row>
    <row r="2614" spans="1:3" x14ac:dyDescent="0.55000000000000004">
      <c r="A2614" s="68">
        <v>646</v>
      </c>
      <c r="C2614" s="68">
        <v>22.2</v>
      </c>
    </row>
    <row r="2615" spans="1:3" x14ac:dyDescent="0.55000000000000004">
      <c r="A2615" s="68">
        <v>646</v>
      </c>
      <c r="C2615" s="68">
        <v>22.2</v>
      </c>
    </row>
    <row r="2616" spans="1:3" x14ac:dyDescent="0.55000000000000004">
      <c r="A2616" s="68">
        <v>646</v>
      </c>
      <c r="C2616" s="68">
        <v>21.98</v>
      </c>
    </row>
    <row r="2617" spans="1:3" x14ac:dyDescent="0.55000000000000004">
      <c r="A2617" s="68">
        <v>646</v>
      </c>
      <c r="C2617" s="68">
        <v>21.76</v>
      </c>
    </row>
    <row r="2618" spans="1:3" x14ac:dyDescent="0.55000000000000004">
      <c r="A2618" s="68">
        <v>646</v>
      </c>
      <c r="C2618" s="68">
        <v>21.76</v>
      </c>
    </row>
    <row r="2619" spans="1:3" x14ac:dyDescent="0.55000000000000004">
      <c r="A2619" s="68">
        <v>646</v>
      </c>
      <c r="C2619" s="68">
        <v>21.76</v>
      </c>
    </row>
    <row r="2620" spans="1:3" x14ac:dyDescent="0.55000000000000004">
      <c r="A2620" s="68">
        <v>646</v>
      </c>
      <c r="C2620" s="68">
        <v>21.76</v>
      </c>
    </row>
    <row r="2621" spans="1:3" x14ac:dyDescent="0.55000000000000004">
      <c r="A2621" s="68">
        <v>646</v>
      </c>
      <c r="C2621" s="68">
        <v>21.76</v>
      </c>
    </row>
    <row r="2622" spans="1:3" x14ac:dyDescent="0.55000000000000004">
      <c r="A2622" s="68">
        <v>646</v>
      </c>
      <c r="C2622" s="68">
        <v>20.92</v>
      </c>
    </row>
    <row r="2623" spans="1:3" x14ac:dyDescent="0.55000000000000004">
      <c r="A2623" s="68">
        <v>646</v>
      </c>
      <c r="C2623" s="68">
        <v>20.92</v>
      </c>
    </row>
    <row r="2624" spans="1:3" x14ac:dyDescent="0.55000000000000004">
      <c r="A2624" s="68">
        <v>646</v>
      </c>
      <c r="C2624" s="68">
        <v>20.100000000000001</v>
      </c>
    </row>
    <row r="2625" spans="1:3" x14ac:dyDescent="0.55000000000000004">
      <c r="A2625" s="68">
        <v>646</v>
      </c>
      <c r="C2625" s="68">
        <v>19.71</v>
      </c>
    </row>
    <row r="2626" spans="1:3" x14ac:dyDescent="0.55000000000000004">
      <c r="A2626" s="68">
        <v>646</v>
      </c>
      <c r="C2626" s="68">
        <v>19.71</v>
      </c>
    </row>
    <row r="2627" spans="1:3" x14ac:dyDescent="0.55000000000000004">
      <c r="A2627" s="68">
        <v>646</v>
      </c>
      <c r="C2627" s="68">
        <v>19.71</v>
      </c>
    </row>
    <row r="2628" spans="1:3" x14ac:dyDescent="0.55000000000000004">
      <c r="A2628" s="68">
        <v>646</v>
      </c>
      <c r="C2628" s="68">
        <v>19.71</v>
      </c>
    </row>
    <row r="2629" spans="1:3" x14ac:dyDescent="0.55000000000000004">
      <c r="A2629" s="68">
        <v>646</v>
      </c>
      <c r="C2629" s="68">
        <v>19.71</v>
      </c>
    </row>
    <row r="2630" spans="1:3" x14ac:dyDescent="0.55000000000000004">
      <c r="A2630" s="68">
        <v>646</v>
      </c>
      <c r="C2630" s="68">
        <v>19.32</v>
      </c>
    </row>
    <row r="2631" spans="1:3" x14ac:dyDescent="0.55000000000000004">
      <c r="A2631" s="68">
        <v>646</v>
      </c>
      <c r="C2631" s="68">
        <v>19.32</v>
      </c>
    </row>
    <row r="2632" spans="1:3" x14ac:dyDescent="0.55000000000000004">
      <c r="A2632" s="68">
        <v>646</v>
      </c>
      <c r="C2632" s="68">
        <v>19.32</v>
      </c>
    </row>
    <row r="2633" spans="1:3" x14ac:dyDescent="0.55000000000000004">
      <c r="A2633" s="68">
        <v>646</v>
      </c>
      <c r="C2633" s="68">
        <v>19.32</v>
      </c>
    </row>
    <row r="2634" spans="1:3" x14ac:dyDescent="0.55000000000000004">
      <c r="A2634" s="68">
        <v>646</v>
      </c>
      <c r="C2634" s="68">
        <v>19.32</v>
      </c>
    </row>
    <row r="2635" spans="1:3" x14ac:dyDescent="0.55000000000000004">
      <c r="A2635" s="68">
        <v>646</v>
      </c>
      <c r="C2635" s="68">
        <v>18.940000000000001</v>
      </c>
    </row>
    <row r="2636" spans="1:3" x14ac:dyDescent="0.55000000000000004">
      <c r="A2636" s="68">
        <v>646</v>
      </c>
      <c r="C2636" s="68">
        <v>18.940000000000001</v>
      </c>
    </row>
    <row r="2637" spans="1:3" x14ac:dyDescent="0.55000000000000004">
      <c r="A2637" s="68">
        <v>646</v>
      </c>
      <c r="C2637" s="68">
        <v>18.57</v>
      </c>
    </row>
    <row r="2638" spans="1:3" x14ac:dyDescent="0.55000000000000004">
      <c r="A2638" s="68">
        <v>646</v>
      </c>
      <c r="C2638" s="68">
        <v>18.21</v>
      </c>
    </row>
    <row r="2639" spans="1:3" x14ac:dyDescent="0.55000000000000004">
      <c r="A2639" s="68">
        <v>646</v>
      </c>
      <c r="C2639" s="68">
        <v>17.850000000000001</v>
      </c>
    </row>
    <row r="2640" spans="1:3" x14ac:dyDescent="0.55000000000000004">
      <c r="A2640" s="68">
        <v>646</v>
      </c>
      <c r="C2640" s="68">
        <v>17.850000000000001</v>
      </c>
    </row>
    <row r="2641" spans="1:3" x14ac:dyDescent="0.55000000000000004">
      <c r="A2641" s="68">
        <v>646</v>
      </c>
      <c r="C2641" s="68">
        <v>17.850000000000001</v>
      </c>
    </row>
    <row r="2642" spans="1:3" x14ac:dyDescent="0.55000000000000004">
      <c r="A2642" s="68">
        <v>646</v>
      </c>
      <c r="C2642" s="68">
        <v>17.850000000000001</v>
      </c>
    </row>
    <row r="2643" spans="1:3" x14ac:dyDescent="0.55000000000000004">
      <c r="A2643" s="68">
        <v>646</v>
      </c>
      <c r="C2643" s="68">
        <v>17.850000000000001</v>
      </c>
    </row>
    <row r="2644" spans="1:3" x14ac:dyDescent="0.55000000000000004">
      <c r="A2644" s="68">
        <v>646</v>
      </c>
      <c r="C2644" s="68">
        <v>17.850000000000001</v>
      </c>
    </row>
    <row r="2645" spans="1:3" x14ac:dyDescent="0.55000000000000004">
      <c r="A2645" s="68">
        <v>646</v>
      </c>
      <c r="C2645" s="68">
        <v>17.850000000000001</v>
      </c>
    </row>
    <row r="2646" spans="1:3" x14ac:dyDescent="0.55000000000000004">
      <c r="A2646" s="68">
        <v>646</v>
      </c>
      <c r="C2646" s="68">
        <v>17.850000000000001</v>
      </c>
    </row>
    <row r="2647" spans="1:3" x14ac:dyDescent="0.55000000000000004">
      <c r="A2647" s="68">
        <v>646</v>
      </c>
      <c r="C2647" s="68">
        <v>17.850000000000001</v>
      </c>
    </row>
    <row r="2648" spans="1:3" x14ac:dyDescent="0.55000000000000004">
      <c r="A2648" s="68">
        <v>646</v>
      </c>
      <c r="C2648" s="68">
        <v>17.850000000000001</v>
      </c>
    </row>
    <row r="2649" spans="1:3" x14ac:dyDescent="0.55000000000000004">
      <c r="A2649" s="68">
        <v>646</v>
      </c>
      <c r="C2649" s="68">
        <v>17.850000000000001</v>
      </c>
    </row>
    <row r="2650" spans="1:3" x14ac:dyDescent="0.55000000000000004">
      <c r="A2650" s="68">
        <v>646</v>
      </c>
      <c r="C2650" s="68">
        <v>17.850000000000001</v>
      </c>
    </row>
    <row r="2651" spans="1:3" x14ac:dyDescent="0.55000000000000004">
      <c r="A2651" s="68">
        <v>646</v>
      </c>
      <c r="C2651" s="68">
        <v>17.850000000000001</v>
      </c>
    </row>
    <row r="2652" spans="1:3" x14ac:dyDescent="0.55000000000000004">
      <c r="A2652" s="68">
        <v>646</v>
      </c>
      <c r="C2652" s="68">
        <v>17.850000000000001</v>
      </c>
    </row>
    <row r="2653" spans="1:3" x14ac:dyDescent="0.55000000000000004">
      <c r="A2653" s="68">
        <v>646</v>
      </c>
      <c r="C2653" s="68">
        <v>17.850000000000001</v>
      </c>
    </row>
    <row r="2654" spans="1:3" x14ac:dyDescent="0.55000000000000004">
      <c r="A2654" s="68">
        <v>646</v>
      </c>
      <c r="C2654" s="68">
        <v>17.850000000000001</v>
      </c>
    </row>
    <row r="2655" spans="1:3" x14ac:dyDescent="0.55000000000000004">
      <c r="A2655" s="68">
        <v>646</v>
      </c>
      <c r="C2655" s="68">
        <v>17.850000000000001</v>
      </c>
    </row>
    <row r="2656" spans="1:3" x14ac:dyDescent="0.55000000000000004">
      <c r="A2656" s="68">
        <v>646</v>
      </c>
      <c r="C2656" s="68">
        <v>17.850000000000001</v>
      </c>
    </row>
    <row r="2657" spans="1:3" x14ac:dyDescent="0.55000000000000004">
      <c r="A2657" s="68">
        <v>646</v>
      </c>
      <c r="C2657" s="68">
        <v>17.850000000000001</v>
      </c>
    </row>
    <row r="2658" spans="1:3" x14ac:dyDescent="0.55000000000000004">
      <c r="A2658" s="68">
        <v>646</v>
      </c>
      <c r="C2658" s="68">
        <v>17.850000000000001</v>
      </c>
    </row>
    <row r="2659" spans="1:3" x14ac:dyDescent="0.55000000000000004">
      <c r="A2659" s="68">
        <v>646</v>
      </c>
      <c r="C2659" s="68">
        <v>17.850000000000001</v>
      </c>
    </row>
    <row r="2660" spans="1:3" x14ac:dyDescent="0.55000000000000004">
      <c r="A2660" s="68">
        <v>646</v>
      </c>
      <c r="C2660" s="68">
        <v>17.850000000000001</v>
      </c>
    </row>
    <row r="2661" spans="1:3" x14ac:dyDescent="0.55000000000000004">
      <c r="A2661" s="68">
        <v>646</v>
      </c>
      <c r="C2661" s="68">
        <v>17.850000000000001</v>
      </c>
    </row>
    <row r="2662" spans="1:3" x14ac:dyDescent="0.55000000000000004">
      <c r="A2662" s="68">
        <v>646</v>
      </c>
      <c r="C2662" s="68">
        <v>17.850000000000001</v>
      </c>
    </row>
    <row r="2663" spans="1:3" x14ac:dyDescent="0.55000000000000004">
      <c r="A2663" s="68">
        <v>646</v>
      </c>
      <c r="C2663" s="68">
        <v>17.850000000000001</v>
      </c>
    </row>
    <row r="2664" spans="1:3" x14ac:dyDescent="0.55000000000000004">
      <c r="A2664" s="68">
        <v>646</v>
      </c>
      <c r="C2664" s="68">
        <v>17.850000000000001</v>
      </c>
    </row>
    <row r="2665" spans="1:3" x14ac:dyDescent="0.55000000000000004">
      <c r="A2665" s="68">
        <v>646</v>
      </c>
      <c r="C2665" s="68">
        <v>17.850000000000001</v>
      </c>
    </row>
    <row r="2666" spans="1:3" x14ac:dyDescent="0.55000000000000004">
      <c r="A2666" s="68">
        <v>646</v>
      </c>
      <c r="C2666" s="68">
        <v>17.850000000000001</v>
      </c>
    </row>
    <row r="2667" spans="1:3" x14ac:dyDescent="0.55000000000000004">
      <c r="A2667" s="68">
        <v>646</v>
      </c>
      <c r="C2667" s="68">
        <v>17.850000000000001</v>
      </c>
    </row>
    <row r="2668" spans="1:3" x14ac:dyDescent="0.55000000000000004">
      <c r="A2668" s="68">
        <v>646</v>
      </c>
      <c r="C2668" s="68">
        <v>17.850000000000001</v>
      </c>
    </row>
    <row r="2669" spans="1:3" x14ac:dyDescent="0.55000000000000004">
      <c r="A2669" s="68">
        <v>646</v>
      </c>
      <c r="C2669" s="68">
        <v>22.64</v>
      </c>
    </row>
    <row r="2670" spans="1:3" x14ac:dyDescent="0.55000000000000004">
      <c r="A2670" s="68">
        <v>646</v>
      </c>
      <c r="C2670" s="68">
        <v>21.98</v>
      </c>
    </row>
    <row r="2671" spans="1:3" x14ac:dyDescent="0.55000000000000004">
      <c r="A2671" s="68">
        <v>646</v>
      </c>
      <c r="C2671" s="68">
        <v>21.76</v>
      </c>
    </row>
    <row r="2672" spans="1:3" x14ac:dyDescent="0.55000000000000004">
      <c r="A2672" s="68">
        <v>646</v>
      </c>
      <c r="C2672" s="68">
        <v>19.32</v>
      </c>
    </row>
    <row r="2673" spans="1:3" x14ac:dyDescent="0.55000000000000004">
      <c r="A2673" s="68">
        <v>646</v>
      </c>
      <c r="C2673" s="68">
        <v>18.940000000000001</v>
      </c>
    </row>
    <row r="2674" spans="1:3" x14ac:dyDescent="0.55000000000000004">
      <c r="A2674" s="68">
        <v>646</v>
      </c>
      <c r="C2674" s="68">
        <v>17.850000000000001</v>
      </c>
    </row>
    <row r="2675" spans="1:3" x14ac:dyDescent="0.55000000000000004">
      <c r="A2675" s="68">
        <v>218</v>
      </c>
      <c r="C2675" s="68">
        <v>22</v>
      </c>
    </row>
    <row r="2676" spans="1:3" x14ac:dyDescent="0.55000000000000004">
      <c r="A2676" s="68">
        <v>218</v>
      </c>
      <c r="C2676" s="68">
        <v>24</v>
      </c>
    </row>
    <row r="2677" spans="1:3" x14ac:dyDescent="0.55000000000000004">
      <c r="A2677" s="68">
        <v>218</v>
      </c>
      <c r="C2677" s="68">
        <v>22</v>
      </c>
    </row>
    <row r="2678" spans="1:3" x14ac:dyDescent="0.55000000000000004">
      <c r="A2678" s="68">
        <v>218</v>
      </c>
      <c r="C2678" s="68">
        <v>22</v>
      </c>
    </row>
    <row r="2679" spans="1:3" x14ac:dyDescent="0.55000000000000004">
      <c r="A2679" s="68">
        <v>218</v>
      </c>
      <c r="C2679" s="68">
        <v>23</v>
      </c>
    </row>
    <row r="2680" spans="1:3" x14ac:dyDescent="0.55000000000000004">
      <c r="A2680" s="68">
        <v>218</v>
      </c>
      <c r="C2680" s="68">
        <v>22</v>
      </c>
    </row>
    <row r="2681" spans="1:3" x14ac:dyDescent="0.55000000000000004">
      <c r="A2681" s="68">
        <v>218</v>
      </c>
      <c r="C2681" s="68">
        <v>24</v>
      </c>
    </row>
    <row r="2682" spans="1:3" x14ac:dyDescent="0.55000000000000004">
      <c r="A2682" s="68">
        <v>218</v>
      </c>
      <c r="C2682" s="68">
        <v>21</v>
      </c>
    </row>
    <row r="2683" spans="1:3" x14ac:dyDescent="0.55000000000000004">
      <c r="A2683" s="68">
        <v>218</v>
      </c>
      <c r="C2683" s="68">
        <v>23</v>
      </c>
    </row>
    <row r="2684" spans="1:3" x14ac:dyDescent="0.55000000000000004">
      <c r="A2684" s="68">
        <v>218</v>
      </c>
      <c r="C2684" s="68">
        <v>23</v>
      </c>
    </row>
    <row r="2685" spans="1:3" x14ac:dyDescent="0.55000000000000004">
      <c r="A2685" s="68">
        <v>218</v>
      </c>
      <c r="C2685" s="68">
        <v>23</v>
      </c>
    </row>
    <row r="2686" spans="1:3" x14ac:dyDescent="0.55000000000000004">
      <c r="A2686" s="68">
        <v>218</v>
      </c>
      <c r="C2686" s="68">
        <v>22</v>
      </c>
    </row>
    <row r="2687" spans="1:3" x14ac:dyDescent="0.55000000000000004">
      <c r="A2687" s="68">
        <v>218</v>
      </c>
      <c r="C2687" s="68">
        <v>23</v>
      </c>
    </row>
    <row r="2688" spans="1:3" x14ac:dyDescent="0.55000000000000004">
      <c r="A2688" s="68">
        <v>218</v>
      </c>
      <c r="C2688" s="68">
        <v>21</v>
      </c>
    </row>
    <row r="2689" spans="1:3" x14ac:dyDescent="0.55000000000000004">
      <c r="A2689" s="68">
        <v>218</v>
      </c>
      <c r="C2689" s="68">
        <v>23</v>
      </c>
    </row>
    <row r="2690" spans="1:3" x14ac:dyDescent="0.55000000000000004">
      <c r="A2690" s="68">
        <v>218</v>
      </c>
      <c r="C2690" s="68">
        <v>21.5</v>
      </c>
    </row>
    <row r="2691" spans="1:3" x14ac:dyDescent="0.55000000000000004">
      <c r="A2691" s="68">
        <v>218</v>
      </c>
      <c r="C2691" s="68">
        <v>20</v>
      </c>
    </row>
    <row r="2692" spans="1:3" x14ac:dyDescent="0.55000000000000004">
      <c r="A2692" s="68">
        <v>218</v>
      </c>
      <c r="C2692" s="68">
        <v>22</v>
      </c>
    </row>
    <row r="2693" spans="1:3" x14ac:dyDescent="0.55000000000000004">
      <c r="A2693" s="68">
        <v>218</v>
      </c>
      <c r="C2693" s="68">
        <v>23</v>
      </c>
    </row>
    <row r="2694" spans="1:3" x14ac:dyDescent="0.55000000000000004">
      <c r="A2694" s="68">
        <v>218</v>
      </c>
      <c r="C2694" s="68">
        <v>23</v>
      </c>
    </row>
    <row r="2695" spans="1:3" x14ac:dyDescent="0.55000000000000004">
      <c r="A2695" s="68">
        <v>218</v>
      </c>
      <c r="C2695" s="68">
        <v>23</v>
      </c>
    </row>
    <row r="2696" spans="1:3" x14ac:dyDescent="0.55000000000000004">
      <c r="A2696" s="68">
        <v>218</v>
      </c>
      <c r="C2696" s="68">
        <v>22</v>
      </c>
    </row>
    <row r="2697" spans="1:3" x14ac:dyDescent="0.55000000000000004">
      <c r="A2697" s="68">
        <v>218</v>
      </c>
      <c r="C2697" s="68">
        <v>22</v>
      </c>
    </row>
    <row r="2698" spans="1:3" x14ac:dyDescent="0.55000000000000004">
      <c r="A2698" s="68">
        <v>218</v>
      </c>
      <c r="C2698" s="68">
        <v>23</v>
      </c>
    </row>
    <row r="2699" spans="1:3" x14ac:dyDescent="0.55000000000000004">
      <c r="A2699" s="68">
        <v>218</v>
      </c>
      <c r="C2699" s="68">
        <v>26</v>
      </c>
    </row>
    <row r="2700" spans="1:3" x14ac:dyDescent="0.55000000000000004">
      <c r="A2700" s="68">
        <v>218</v>
      </c>
      <c r="C2700" s="68">
        <v>23</v>
      </c>
    </row>
    <row r="2701" spans="1:3" x14ac:dyDescent="0.55000000000000004">
      <c r="A2701" s="68">
        <v>218</v>
      </c>
      <c r="C2701" s="68">
        <v>18</v>
      </c>
    </row>
    <row r="2702" spans="1:3" x14ac:dyDescent="0.55000000000000004">
      <c r="A2702" s="68">
        <v>218</v>
      </c>
      <c r="C2702" s="68">
        <v>28</v>
      </c>
    </row>
    <row r="2703" spans="1:3" x14ac:dyDescent="0.55000000000000004">
      <c r="A2703" s="68">
        <v>218</v>
      </c>
      <c r="C2703" s="68">
        <v>27.5</v>
      </c>
    </row>
    <row r="2704" spans="1:3" x14ac:dyDescent="0.55000000000000004">
      <c r="A2704" s="68">
        <v>218</v>
      </c>
      <c r="C2704" s="68">
        <v>19</v>
      </c>
    </row>
    <row r="2705" spans="1:3" x14ac:dyDescent="0.55000000000000004">
      <c r="A2705" s="68">
        <v>218</v>
      </c>
      <c r="C2705" s="68">
        <v>24</v>
      </c>
    </row>
    <row r="2706" spans="1:3" x14ac:dyDescent="0.55000000000000004">
      <c r="A2706" s="68">
        <v>218</v>
      </c>
      <c r="C2706" s="68">
        <v>22</v>
      </c>
    </row>
    <row r="2707" spans="1:3" x14ac:dyDescent="0.55000000000000004">
      <c r="A2707" s="68">
        <v>218</v>
      </c>
      <c r="C2707" s="68">
        <v>22</v>
      </c>
    </row>
    <row r="2708" spans="1:3" x14ac:dyDescent="0.55000000000000004">
      <c r="A2708" s="68">
        <v>218</v>
      </c>
      <c r="C2708" s="68">
        <v>24</v>
      </c>
    </row>
    <row r="2709" spans="1:3" x14ac:dyDescent="0.55000000000000004">
      <c r="A2709" s="68">
        <v>218</v>
      </c>
      <c r="C2709" s="68">
        <v>22</v>
      </c>
    </row>
    <row r="2710" spans="1:3" x14ac:dyDescent="0.55000000000000004">
      <c r="A2710" s="68">
        <v>584</v>
      </c>
      <c r="C2710" s="68">
        <v>21.25</v>
      </c>
    </row>
    <row r="2711" spans="1:3" x14ac:dyDescent="0.55000000000000004">
      <c r="A2711" s="68">
        <v>584</v>
      </c>
      <c r="C2711" s="68">
        <v>21.5</v>
      </c>
    </row>
    <row r="2712" spans="1:3" x14ac:dyDescent="0.55000000000000004">
      <c r="A2712" s="68">
        <v>584</v>
      </c>
      <c r="C2712" s="68">
        <v>24</v>
      </c>
    </row>
    <row r="2713" spans="1:3" x14ac:dyDescent="0.55000000000000004">
      <c r="A2713" s="68">
        <v>584</v>
      </c>
      <c r="C2713" s="68">
        <v>18.670000000000002</v>
      </c>
    </row>
    <row r="2714" spans="1:3" x14ac:dyDescent="0.55000000000000004">
      <c r="A2714" s="68">
        <v>584</v>
      </c>
      <c r="C2714" s="68">
        <v>19</v>
      </c>
    </row>
    <row r="2715" spans="1:3" x14ac:dyDescent="0.55000000000000004">
      <c r="A2715" s="68">
        <v>584</v>
      </c>
      <c r="C2715" s="68">
        <v>19.25</v>
      </c>
    </row>
    <row r="2716" spans="1:3" x14ac:dyDescent="0.55000000000000004">
      <c r="A2716" s="68">
        <v>584</v>
      </c>
      <c r="C2716" s="68">
        <v>22</v>
      </c>
    </row>
    <row r="2717" spans="1:3" x14ac:dyDescent="0.55000000000000004">
      <c r="A2717" s="68">
        <v>584</v>
      </c>
      <c r="C2717" s="68">
        <v>19</v>
      </c>
    </row>
    <row r="2718" spans="1:3" x14ac:dyDescent="0.55000000000000004">
      <c r="A2718" s="68">
        <v>584</v>
      </c>
      <c r="C2718" s="68">
        <v>21</v>
      </c>
    </row>
    <row r="2719" spans="1:3" x14ac:dyDescent="0.55000000000000004">
      <c r="A2719" s="68">
        <v>584</v>
      </c>
      <c r="C2719" s="68">
        <v>20.5</v>
      </c>
    </row>
    <row r="2720" spans="1:3" x14ac:dyDescent="0.55000000000000004">
      <c r="A2720" s="68">
        <v>584</v>
      </c>
      <c r="C2720" s="68">
        <v>19</v>
      </c>
    </row>
    <row r="2721" spans="1:3" x14ac:dyDescent="0.55000000000000004">
      <c r="A2721" s="68">
        <v>584</v>
      </c>
      <c r="C2721" s="68">
        <v>24</v>
      </c>
    </row>
    <row r="2722" spans="1:3" x14ac:dyDescent="0.55000000000000004">
      <c r="A2722" s="68">
        <v>584</v>
      </c>
      <c r="C2722" s="68">
        <v>24</v>
      </c>
    </row>
    <row r="2723" spans="1:3" x14ac:dyDescent="0.55000000000000004">
      <c r="A2723" s="68">
        <v>584</v>
      </c>
      <c r="C2723" s="68">
        <v>19</v>
      </c>
    </row>
    <row r="2724" spans="1:3" x14ac:dyDescent="0.55000000000000004">
      <c r="A2724" s="68">
        <v>584</v>
      </c>
      <c r="C2724" s="68">
        <v>21.75</v>
      </c>
    </row>
    <row r="2725" spans="1:3" x14ac:dyDescent="0.55000000000000004">
      <c r="A2725" s="68">
        <v>584</v>
      </c>
      <c r="C2725" s="68">
        <v>19.5</v>
      </c>
    </row>
    <row r="2726" spans="1:3" x14ac:dyDescent="0.55000000000000004">
      <c r="A2726" s="68">
        <v>584</v>
      </c>
      <c r="C2726" s="68">
        <v>20.75</v>
      </c>
    </row>
    <row r="2727" spans="1:3" x14ac:dyDescent="0.55000000000000004">
      <c r="A2727" s="68">
        <v>584</v>
      </c>
      <c r="C2727" s="68">
        <v>20.5</v>
      </c>
    </row>
    <row r="2728" spans="1:3" x14ac:dyDescent="0.55000000000000004">
      <c r="A2728" s="68">
        <v>584</v>
      </c>
      <c r="C2728" s="68">
        <v>21.75</v>
      </c>
    </row>
    <row r="2729" spans="1:3" x14ac:dyDescent="0.55000000000000004">
      <c r="A2729" s="68">
        <v>584</v>
      </c>
      <c r="C2729" s="68">
        <v>24</v>
      </c>
    </row>
    <row r="2730" spans="1:3" x14ac:dyDescent="0.55000000000000004">
      <c r="A2730" s="68">
        <v>584</v>
      </c>
      <c r="C2730" s="68">
        <v>24</v>
      </c>
    </row>
    <row r="2731" spans="1:3" x14ac:dyDescent="0.55000000000000004">
      <c r="A2731" s="68">
        <v>901</v>
      </c>
      <c r="C2731" s="68">
        <v>17.61</v>
      </c>
    </row>
    <row r="2732" spans="1:3" x14ac:dyDescent="0.55000000000000004">
      <c r="A2732" s="68">
        <v>901</v>
      </c>
      <c r="C2732" s="68">
        <v>17.61</v>
      </c>
    </row>
    <row r="2733" spans="1:3" x14ac:dyDescent="0.55000000000000004">
      <c r="A2733" s="68">
        <v>901</v>
      </c>
      <c r="C2733" s="68">
        <v>20.99</v>
      </c>
    </row>
    <row r="2734" spans="1:3" x14ac:dyDescent="0.55000000000000004">
      <c r="A2734" s="68">
        <v>901</v>
      </c>
      <c r="C2734" s="68">
        <v>18.12</v>
      </c>
    </row>
    <row r="2735" spans="1:3" x14ac:dyDescent="0.55000000000000004">
      <c r="A2735" s="68">
        <v>901</v>
      </c>
      <c r="C2735" s="68">
        <v>21.2</v>
      </c>
    </row>
    <row r="2736" spans="1:3" x14ac:dyDescent="0.55000000000000004">
      <c r="A2736" s="68">
        <v>901</v>
      </c>
      <c r="C2736" s="68">
        <v>21.1</v>
      </c>
    </row>
    <row r="2737" spans="1:3" x14ac:dyDescent="0.55000000000000004">
      <c r="A2737" s="68">
        <v>901</v>
      </c>
      <c r="C2737" s="68">
        <v>18.12</v>
      </c>
    </row>
    <row r="2738" spans="1:3" x14ac:dyDescent="0.55000000000000004">
      <c r="A2738" s="68">
        <v>901</v>
      </c>
      <c r="C2738" s="68">
        <v>17.61</v>
      </c>
    </row>
    <row r="2739" spans="1:3" x14ac:dyDescent="0.55000000000000004">
      <c r="A2739" s="68">
        <v>901</v>
      </c>
      <c r="C2739" s="68">
        <v>17.61</v>
      </c>
    </row>
    <row r="2740" spans="1:3" x14ac:dyDescent="0.55000000000000004">
      <c r="A2740" s="68">
        <v>901</v>
      </c>
      <c r="C2740" s="68">
        <v>18.12</v>
      </c>
    </row>
    <row r="2741" spans="1:3" x14ac:dyDescent="0.55000000000000004">
      <c r="A2741" s="68">
        <v>550</v>
      </c>
      <c r="C2741" s="68">
        <v>19.14</v>
      </c>
    </row>
    <row r="2742" spans="1:3" x14ac:dyDescent="0.55000000000000004">
      <c r="A2742" s="68">
        <v>550</v>
      </c>
      <c r="C2742" s="68">
        <v>19.14</v>
      </c>
    </row>
    <row r="2743" spans="1:3" x14ac:dyDescent="0.55000000000000004">
      <c r="A2743" s="68">
        <v>550</v>
      </c>
      <c r="C2743" s="68">
        <v>19.14</v>
      </c>
    </row>
    <row r="2744" spans="1:3" x14ac:dyDescent="0.55000000000000004">
      <c r="A2744" s="68">
        <v>550</v>
      </c>
      <c r="C2744" s="68">
        <v>19.14</v>
      </c>
    </row>
    <row r="2745" spans="1:3" x14ac:dyDescent="0.55000000000000004">
      <c r="A2745" s="68">
        <v>550</v>
      </c>
      <c r="C2745" s="68">
        <v>19.14</v>
      </c>
    </row>
    <row r="2746" spans="1:3" x14ac:dyDescent="0.55000000000000004">
      <c r="A2746" s="68">
        <v>550</v>
      </c>
      <c r="C2746" s="68">
        <v>20.14</v>
      </c>
    </row>
    <row r="2747" spans="1:3" x14ac:dyDescent="0.55000000000000004">
      <c r="A2747" s="68">
        <v>550</v>
      </c>
      <c r="C2747" s="68">
        <v>20.14</v>
      </c>
    </row>
    <row r="2748" spans="1:3" x14ac:dyDescent="0.55000000000000004">
      <c r="A2748" s="68">
        <v>550</v>
      </c>
      <c r="C2748" s="68">
        <v>20.14</v>
      </c>
    </row>
    <row r="2749" spans="1:3" x14ac:dyDescent="0.55000000000000004">
      <c r="A2749" s="68">
        <v>550</v>
      </c>
      <c r="C2749" s="68">
        <v>20.14</v>
      </c>
    </row>
    <row r="2750" spans="1:3" x14ac:dyDescent="0.55000000000000004">
      <c r="A2750" s="68">
        <v>550</v>
      </c>
      <c r="C2750" s="68">
        <v>20.43</v>
      </c>
    </row>
    <row r="2751" spans="1:3" x14ac:dyDescent="0.55000000000000004">
      <c r="A2751" s="68">
        <v>550</v>
      </c>
      <c r="C2751" s="68">
        <v>20.43</v>
      </c>
    </row>
    <row r="2752" spans="1:3" x14ac:dyDescent="0.55000000000000004">
      <c r="A2752" s="68">
        <v>550</v>
      </c>
      <c r="C2752" s="68">
        <v>20.58</v>
      </c>
    </row>
    <row r="2753" spans="1:3" x14ac:dyDescent="0.55000000000000004">
      <c r="A2753" s="68">
        <v>550</v>
      </c>
      <c r="C2753" s="68">
        <v>20.72</v>
      </c>
    </row>
    <row r="2754" spans="1:3" x14ac:dyDescent="0.55000000000000004">
      <c r="A2754" s="68">
        <v>550</v>
      </c>
      <c r="C2754" s="68">
        <v>21.01</v>
      </c>
    </row>
    <row r="2755" spans="1:3" x14ac:dyDescent="0.55000000000000004">
      <c r="A2755" s="68">
        <v>550</v>
      </c>
      <c r="C2755" s="68">
        <v>21.01</v>
      </c>
    </row>
    <row r="2756" spans="1:3" x14ac:dyDescent="0.55000000000000004">
      <c r="A2756" s="68">
        <v>550</v>
      </c>
      <c r="C2756" s="68">
        <v>21.57</v>
      </c>
    </row>
    <row r="2757" spans="1:3" x14ac:dyDescent="0.55000000000000004">
      <c r="A2757" s="68">
        <v>550</v>
      </c>
      <c r="C2757" s="68">
        <v>21.57</v>
      </c>
    </row>
    <row r="2758" spans="1:3" x14ac:dyDescent="0.55000000000000004">
      <c r="A2758" s="68">
        <v>486</v>
      </c>
      <c r="C2758" s="68">
        <v>19.25</v>
      </c>
    </row>
    <row r="2759" spans="1:3" x14ac:dyDescent="0.55000000000000004">
      <c r="A2759" s="68">
        <v>486</v>
      </c>
      <c r="C2759" s="68">
        <v>20.5</v>
      </c>
    </row>
    <row r="2760" spans="1:3" x14ac:dyDescent="0.55000000000000004">
      <c r="A2760" s="68">
        <v>486</v>
      </c>
      <c r="C2760" s="68">
        <v>22.05</v>
      </c>
    </row>
    <row r="2761" spans="1:3" x14ac:dyDescent="0.55000000000000004">
      <c r="A2761" s="68">
        <v>486</v>
      </c>
      <c r="C2761" s="68">
        <v>20.440000000000001</v>
      </c>
    </row>
    <row r="2762" spans="1:3" x14ac:dyDescent="0.55000000000000004">
      <c r="A2762" s="68">
        <v>486</v>
      </c>
      <c r="C2762" s="68">
        <v>21.39</v>
      </c>
    </row>
    <row r="2763" spans="1:3" x14ac:dyDescent="0.55000000000000004">
      <c r="A2763" s="68">
        <v>486</v>
      </c>
      <c r="C2763" s="68">
        <v>21</v>
      </c>
    </row>
    <row r="2764" spans="1:3" x14ac:dyDescent="0.55000000000000004">
      <c r="A2764" s="68">
        <v>486</v>
      </c>
      <c r="C2764" s="68">
        <v>20.5</v>
      </c>
    </row>
    <row r="2765" spans="1:3" x14ac:dyDescent="0.55000000000000004">
      <c r="A2765" s="68">
        <v>486</v>
      </c>
      <c r="C2765" s="68">
        <v>21.31</v>
      </c>
    </row>
    <row r="2766" spans="1:3" x14ac:dyDescent="0.55000000000000004">
      <c r="A2766" s="68">
        <v>486</v>
      </c>
      <c r="C2766" s="68">
        <v>20.25</v>
      </c>
    </row>
    <row r="2767" spans="1:3" x14ac:dyDescent="0.55000000000000004">
      <c r="A2767" s="68">
        <v>486</v>
      </c>
      <c r="C2767" s="68">
        <v>21.74</v>
      </c>
    </row>
    <row r="2768" spans="1:3" x14ac:dyDescent="0.55000000000000004">
      <c r="A2768" s="68">
        <v>486</v>
      </c>
      <c r="C2768" s="68">
        <v>20.89</v>
      </c>
    </row>
    <row r="2769" spans="1:3" x14ac:dyDescent="0.55000000000000004">
      <c r="A2769" s="68">
        <v>486</v>
      </c>
      <c r="C2769" s="68">
        <v>22.16</v>
      </c>
    </row>
    <row r="2770" spans="1:3" x14ac:dyDescent="0.55000000000000004">
      <c r="A2770" s="68">
        <v>486</v>
      </c>
      <c r="C2770" s="68">
        <v>20.7</v>
      </c>
    </row>
    <row r="2771" spans="1:3" x14ac:dyDescent="0.55000000000000004">
      <c r="A2771" s="68">
        <v>486</v>
      </c>
      <c r="C2771" s="68">
        <v>19.93</v>
      </c>
    </row>
    <row r="2772" spans="1:3" x14ac:dyDescent="0.55000000000000004">
      <c r="A2772" s="68">
        <v>486</v>
      </c>
      <c r="C2772" s="68">
        <v>19.93</v>
      </c>
    </row>
    <row r="2773" spans="1:3" x14ac:dyDescent="0.55000000000000004">
      <c r="A2773" s="68">
        <v>486</v>
      </c>
      <c r="C2773" s="68">
        <v>20.49</v>
      </c>
    </row>
    <row r="2774" spans="1:3" x14ac:dyDescent="0.55000000000000004">
      <c r="A2774" s="68">
        <v>486</v>
      </c>
      <c r="C2774" s="68">
        <v>23.49</v>
      </c>
    </row>
    <row r="2775" spans="1:3" x14ac:dyDescent="0.55000000000000004">
      <c r="A2775" s="68">
        <v>486</v>
      </c>
      <c r="C2775" s="68">
        <v>22.26</v>
      </c>
    </row>
    <row r="2776" spans="1:3" x14ac:dyDescent="0.55000000000000004">
      <c r="A2776" s="68">
        <v>486</v>
      </c>
      <c r="C2776" s="68">
        <v>23.74</v>
      </c>
    </row>
    <row r="2777" spans="1:3" x14ac:dyDescent="0.55000000000000004">
      <c r="A2777" s="68">
        <v>486</v>
      </c>
      <c r="C2777" s="68">
        <v>20.5</v>
      </c>
    </row>
    <row r="2778" spans="1:3" x14ac:dyDescent="0.55000000000000004">
      <c r="A2778" s="68">
        <v>486</v>
      </c>
      <c r="C2778" s="68">
        <v>21.74</v>
      </c>
    </row>
    <row r="2779" spans="1:3" x14ac:dyDescent="0.55000000000000004">
      <c r="A2779" s="68">
        <v>486</v>
      </c>
      <c r="C2779" s="68">
        <v>22.05</v>
      </c>
    </row>
    <row r="2780" spans="1:3" x14ac:dyDescent="0.55000000000000004">
      <c r="A2780" s="68">
        <v>486</v>
      </c>
      <c r="C2780" s="68">
        <v>22.16</v>
      </c>
    </row>
    <row r="2781" spans="1:3" x14ac:dyDescent="0.55000000000000004">
      <c r="A2781" s="68">
        <v>486</v>
      </c>
      <c r="C2781" s="68">
        <v>21</v>
      </c>
    </row>
    <row r="2782" spans="1:3" x14ac:dyDescent="0.55000000000000004">
      <c r="A2782" s="68">
        <v>486</v>
      </c>
      <c r="C2782" s="68">
        <v>19.25</v>
      </c>
    </row>
    <row r="2783" spans="1:3" x14ac:dyDescent="0.55000000000000004">
      <c r="A2783" s="68">
        <v>486</v>
      </c>
      <c r="C2783" s="68">
        <v>20</v>
      </c>
    </row>
    <row r="2784" spans="1:3" x14ac:dyDescent="0.55000000000000004">
      <c r="A2784" s="68">
        <v>486</v>
      </c>
      <c r="C2784" s="68">
        <v>21.72</v>
      </c>
    </row>
    <row r="2785" spans="1:3" x14ac:dyDescent="0.55000000000000004">
      <c r="A2785" s="68">
        <v>486</v>
      </c>
      <c r="C2785" s="68">
        <v>20.57</v>
      </c>
    </row>
    <row r="2786" spans="1:3" x14ac:dyDescent="0.55000000000000004">
      <c r="A2786" s="68">
        <v>486</v>
      </c>
      <c r="C2786" s="68">
        <v>20.5</v>
      </c>
    </row>
    <row r="2787" spans="1:3" x14ac:dyDescent="0.55000000000000004">
      <c r="A2787" s="68">
        <v>486</v>
      </c>
      <c r="C2787" s="68">
        <v>20.5</v>
      </c>
    </row>
    <row r="2788" spans="1:3" x14ac:dyDescent="0.55000000000000004">
      <c r="A2788" s="68">
        <v>486</v>
      </c>
      <c r="C2788" s="68">
        <v>21.77</v>
      </c>
    </row>
    <row r="2789" spans="1:3" x14ac:dyDescent="0.55000000000000004">
      <c r="A2789" s="68">
        <v>486</v>
      </c>
      <c r="C2789" s="68">
        <v>19.940000000000001</v>
      </c>
    </row>
    <row r="2790" spans="1:3" x14ac:dyDescent="0.55000000000000004">
      <c r="A2790" s="68">
        <v>486</v>
      </c>
      <c r="C2790" s="68">
        <v>20.7</v>
      </c>
    </row>
    <row r="2791" spans="1:3" x14ac:dyDescent="0.55000000000000004">
      <c r="A2791" s="68">
        <v>486</v>
      </c>
      <c r="C2791" s="68">
        <v>21.74</v>
      </c>
    </row>
    <row r="2792" spans="1:3" x14ac:dyDescent="0.55000000000000004">
      <c r="A2792" s="68">
        <v>486</v>
      </c>
      <c r="C2792" s="68">
        <v>19.920000000000002</v>
      </c>
    </row>
    <row r="2793" spans="1:3" x14ac:dyDescent="0.55000000000000004">
      <c r="A2793" s="68">
        <v>486</v>
      </c>
      <c r="C2793" s="68">
        <v>21.19</v>
      </c>
    </row>
    <row r="2794" spans="1:3" x14ac:dyDescent="0.55000000000000004">
      <c r="A2794" s="68">
        <v>486</v>
      </c>
      <c r="C2794" s="68">
        <v>20.21</v>
      </c>
    </row>
    <row r="2795" spans="1:3" x14ac:dyDescent="0.55000000000000004">
      <c r="A2795" s="68">
        <v>486</v>
      </c>
      <c r="C2795" s="68">
        <v>21.08</v>
      </c>
    </row>
    <row r="2796" spans="1:3" x14ac:dyDescent="0.55000000000000004">
      <c r="A2796" s="68">
        <v>486</v>
      </c>
      <c r="C2796" s="68">
        <v>19.95</v>
      </c>
    </row>
    <row r="2797" spans="1:3" x14ac:dyDescent="0.55000000000000004">
      <c r="A2797" s="68">
        <v>486</v>
      </c>
      <c r="C2797" s="68">
        <v>22.05</v>
      </c>
    </row>
    <row r="2798" spans="1:3" x14ac:dyDescent="0.55000000000000004">
      <c r="A2798" s="68">
        <v>486</v>
      </c>
      <c r="C2798" s="68">
        <v>19.25</v>
      </c>
    </row>
    <row r="2799" spans="1:3" x14ac:dyDescent="0.55000000000000004">
      <c r="A2799" s="68">
        <v>486</v>
      </c>
      <c r="C2799" s="68">
        <v>20.25</v>
      </c>
    </row>
    <row r="2800" spans="1:3" x14ac:dyDescent="0.55000000000000004">
      <c r="A2800" s="68">
        <v>486</v>
      </c>
      <c r="C2800" s="68">
        <v>20.49</v>
      </c>
    </row>
    <row r="2801" spans="1:3" x14ac:dyDescent="0.55000000000000004">
      <c r="A2801" s="68">
        <v>486</v>
      </c>
      <c r="C2801" s="68">
        <v>18.63</v>
      </c>
    </row>
    <row r="2802" spans="1:3" x14ac:dyDescent="0.55000000000000004">
      <c r="A2802" s="68">
        <v>486</v>
      </c>
      <c r="C2802" s="68">
        <v>18.89</v>
      </c>
    </row>
    <row r="2803" spans="1:3" x14ac:dyDescent="0.55000000000000004">
      <c r="A2803" s="68">
        <v>486</v>
      </c>
      <c r="C2803" s="68">
        <v>22.25</v>
      </c>
    </row>
    <row r="2804" spans="1:3" x14ac:dyDescent="0.55000000000000004">
      <c r="A2804" s="68">
        <v>486</v>
      </c>
      <c r="C2804" s="68">
        <v>21.66</v>
      </c>
    </row>
    <row r="2805" spans="1:3" x14ac:dyDescent="0.55000000000000004">
      <c r="A2805" s="68">
        <v>486</v>
      </c>
      <c r="C2805" s="68">
        <v>18.25</v>
      </c>
    </row>
    <row r="2806" spans="1:3" x14ac:dyDescent="0.55000000000000004">
      <c r="A2806" s="68">
        <v>486</v>
      </c>
      <c r="C2806" s="68">
        <v>20.82</v>
      </c>
    </row>
    <row r="2807" spans="1:3" x14ac:dyDescent="0.55000000000000004">
      <c r="A2807" s="68">
        <v>486</v>
      </c>
      <c r="C2807" s="68">
        <v>20.190000000000001</v>
      </c>
    </row>
    <row r="2808" spans="1:3" x14ac:dyDescent="0.55000000000000004">
      <c r="A2808" s="68">
        <v>486</v>
      </c>
      <c r="C2808" s="68">
        <v>18.89</v>
      </c>
    </row>
    <row r="2809" spans="1:3" x14ac:dyDescent="0.55000000000000004">
      <c r="A2809" s="68">
        <v>486</v>
      </c>
      <c r="C2809" s="68">
        <v>18.25</v>
      </c>
    </row>
    <row r="2810" spans="1:3" x14ac:dyDescent="0.55000000000000004">
      <c r="A2810" s="68">
        <v>486</v>
      </c>
      <c r="C2810" s="68">
        <v>20.49</v>
      </c>
    </row>
    <row r="2811" spans="1:3" x14ac:dyDescent="0.55000000000000004">
      <c r="A2811" s="68">
        <v>486</v>
      </c>
      <c r="C2811" s="68">
        <v>19.43</v>
      </c>
    </row>
    <row r="2812" spans="1:3" x14ac:dyDescent="0.55000000000000004">
      <c r="A2812" s="68">
        <v>486</v>
      </c>
      <c r="C2812" s="68">
        <v>20.7</v>
      </c>
    </row>
    <row r="2813" spans="1:3" x14ac:dyDescent="0.55000000000000004">
      <c r="A2813" s="68">
        <v>486</v>
      </c>
      <c r="C2813" s="68">
        <v>20.49</v>
      </c>
    </row>
    <row r="2814" spans="1:3" x14ac:dyDescent="0.55000000000000004">
      <c r="A2814" s="68">
        <v>313</v>
      </c>
      <c r="C2814" s="68">
        <v>17</v>
      </c>
    </row>
    <row r="2815" spans="1:3" x14ac:dyDescent="0.55000000000000004">
      <c r="A2815" s="68">
        <v>313</v>
      </c>
      <c r="C2815" s="68">
        <v>17.2</v>
      </c>
    </row>
    <row r="2816" spans="1:3" x14ac:dyDescent="0.55000000000000004">
      <c r="A2816" s="68">
        <v>313</v>
      </c>
      <c r="C2816" s="68">
        <v>17.2</v>
      </c>
    </row>
    <row r="2817" spans="1:3" x14ac:dyDescent="0.55000000000000004">
      <c r="A2817" s="68">
        <v>313</v>
      </c>
      <c r="C2817" s="68">
        <v>17.2</v>
      </c>
    </row>
    <row r="2818" spans="1:3" x14ac:dyDescent="0.55000000000000004">
      <c r="A2818" s="68">
        <v>313</v>
      </c>
      <c r="C2818" s="68">
        <v>17.2</v>
      </c>
    </row>
    <row r="2819" spans="1:3" x14ac:dyDescent="0.55000000000000004">
      <c r="A2819" s="68">
        <v>313</v>
      </c>
      <c r="C2819" s="68">
        <v>17.2</v>
      </c>
    </row>
    <row r="2820" spans="1:3" x14ac:dyDescent="0.55000000000000004">
      <c r="A2820" s="68">
        <v>313</v>
      </c>
      <c r="C2820" s="68">
        <v>17.690000000000001</v>
      </c>
    </row>
    <row r="2821" spans="1:3" x14ac:dyDescent="0.55000000000000004">
      <c r="A2821" s="68">
        <v>313</v>
      </c>
      <c r="C2821" s="68">
        <v>17.850000000000001</v>
      </c>
    </row>
    <row r="2822" spans="1:3" x14ac:dyDescent="0.55000000000000004">
      <c r="A2822" s="68">
        <v>313</v>
      </c>
      <c r="C2822" s="68">
        <v>17.850000000000001</v>
      </c>
    </row>
    <row r="2823" spans="1:3" x14ac:dyDescent="0.55000000000000004">
      <c r="A2823" s="68">
        <v>313</v>
      </c>
      <c r="C2823" s="68">
        <v>17.850000000000001</v>
      </c>
    </row>
    <row r="2824" spans="1:3" x14ac:dyDescent="0.55000000000000004">
      <c r="A2824" s="68">
        <v>313</v>
      </c>
      <c r="C2824" s="68">
        <v>17.956299999999999</v>
      </c>
    </row>
    <row r="2825" spans="1:3" x14ac:dyDescent="0.55000000000000004">
      <c r="A2825" s="68">
        <v>313</v>
      </c>
      <c r="C2825" s="68">
        <v>17.96</v>
      </c>
    </row>
    <row r="2826" spans="1:3" x14ac:dyDescent="0.55000000000000004">
      <c r="A2826" s="68">
        <v>313</v>
      </c>
      <c r="C2826" s="68">
        <v>18.07</v>
      </c>
    </row>
    <row r="2827" spans="1:3" x14ac:dyDescent="0.55000000000000004">
      <c r="A2827" s="68">
        <v>313</v>
      </c>
      <c r="C2827" s="68">
        <v>18.739999999999998</v>
      </c>
    </row>
    <row r="2828" spans="1:3" x14ac:dyDescent="0.55000000000000004">
      <c r="A2828" s="68">
        <v>313</v>
      </c>
      <c r="C2828" s="68">
        <v>18.850000000000001</v>
      </c>
    </row>
    <row r="2829" spans="1:3" x14ac:dyDescent="0.55000000000000004">
      <c r="A2829" s="68">
        <v>313</v>
      </c>
      <c r="C2829" s="68">
        <v>18.974</v>
      </c>
    </row>
    <row r="2830" spans="1:3" x14ac:dyDescent="0.55000000000000004">
      <c r="A2830" s="68">
        <v>313</v>
      </c>
      <c r="C2830" s="68">
        <v>16.78</v>
      </c>
    </row>
    <row r="2831" spans="1:3" x14ac:dyDescent="0.55000000000000004">
      <c r="A2831" s="68">
        <v>313</v>
      </c>
      <c r="C2831" s="68">
        <v>17.2</v>
      </c>
    </row>
    <row r="2832" spans="1:3" x14ac:dyDescent="0.55000000000000004">
      <c r="A2832" s="68">
        <v>313</v>
      </c>
      <c r="C2832" s="68">
        <v>17.690000000000001</v>
      </c>
    </row>
    <row r="2833" spans="1:3" x14ac:dyDescent="0.55000000000000004">
      <c r="A2833" s="68">
        <v>313</v>
      </c>
      <c r="C2833" s="68">
        <v>17.956299999999999</v>
      </c>
    </row>
    <row r="2834" spans="1:3" x14ac:dyDescent="0.55000000000000004">
      <c r="A2834" s="68">
        <v>313</v>
      </c>
      <c r="C2834" s="68">
        <v>18.974</v>
      </c>
    </row>
    <row r="2835" spans="1:3" x14ac:dyDescent="0.55000000000000004">
      <c r="A2835" s="68">
        <v>313</v>
      </c>
      <c r="C2835" s="68">
        <v>16.78</v>
      </c>
    </row>
    <row r="2836" spans="1:3" x14ac:dyDescent="0.55000000000000004">
      <c r="A2836" s="68">
        <v>313</v>
      </c>
      <c r="C2836" s="68">
        <v>16.78</v>
      </c>
    </row>
    <row r="2837" spans="1:3" x14ac:dyDescent="0.55000000000000004">
      <c r="A2837" s="68">
        <v>313</v>
      </c>
      <c r="C2837" s="68">
        <v>17</v>
      </c>
    </row>
    <row r="2838" spans="1:3" x14ac:dyDescent="0.55000000000000004">
      <c r="A2838" s="68">
        <v>313</v>
      </c>
      <c r="C2838" s="68">
        <v>17</v>
      </c>
    </row>
    <row r="2839" spans="1:3" x14ac:dyDescent="0.55000000000000004">
      <c r="A2839" s="68">
        <v>313</v>
      </c>
      <c r="C2839" s="68">
        <v>17.2</v>
      </c>
    </row>
    <row r="2840" spans="1:3" x14ac:dyDescent="0.55000000000000004">
      <c r="A2840" s="68">
        <v>313</v>
      </c>
      <c r="C2840" s="68">
        <v>17.203800000000001</v>
      </c>
    </row>
    <row r="2841" spans="1:3" x14ac:dyDescent="0.55000000000000004">
      <c r="A2841" s="68">
        <v>313</v>
      </c>
      <c r="C2841" s="68">
        <v>17.691299999999998</v>
      </c>
    </row>
    <row r="2842" spans="1:3" x14ac:dyDescent="0.55000000000000004">
      <c r="A2842" s="68">
        <v>313</v>
      </c>
      <c r="C2842" s="68">
        <v>17.850000000000001</v>
      </c>
    </row>
    <row r="2843" spans="1:3" x14ac:dyDescent="0.55000000000000004">
      <c r="A2843" s="68">
        <v>313</v>
      </c>
      <c r="C2843" s="68">
        <v>18.23</v>
      </c>
    </row>
    <row r="2844" spans="1:3" x14ac:dyDescent="0.55000000000000004">
      <c r="A2844" s="68">
        <v>313</v>
      </c>
      <c r="C2844" s="68">
        <v>18.232199999999999</v>
      </c>
    </row>
    <row r="2845" spans="1:3" x14ac:dyDescent="0.55000000000000004">
      <c r="A2845" s="68">
        <v>479</v>
      </c>
      <c r="C2845" s="68">
        <v>20</v>
      </c>
    </row>
    <row r="2846" spans="1:3" x14ac:dyDescent="0.55000000000000004">
      <c r="A2846" s="68">
        <v>479</v>
      </c>
      <c r="C2846" s="68">
        <v>20</v>
      </c>
    </row>
    <row r="2847" spans="1:3" x14ac:dyDescent="0.55000000000000004">
      <c r="A2847" s="68">
        <v>479</v>
      </c>
      <c r="C2847" s="68">
        <v>20</v>
      </c>
    </row>
    <row r="2848" spans="1:3" x14ac:dyDescent="0.55000000000000004">
      <c r="A2848" s="68">
        <v>479</v>
      </c>
      <c r="C2848" s="68">
        <v>20</v>
      </c>
    </row>
    <row r="2849" spans="1:3" x14ac:dyDescent="0.55000000000000004">
      <c r="A2849" s="68">
        <v>479</v>
      </c>
      <c r="C2849" s="68">
        <v>20</v>
      </c>
    </row>
    <row r="2850" spans="1:3" x14ac:dyDescent="0.55000000000000004">
      <c r="A2850" s="68">
        <v>479</v>
      </c>
      <c r="C2850" s="68">
        <v>20</v>
      </c>
    </row>
    <row r="2851" spans="1:3" x14ac:dyDescent="0.55000000000000004">
      <c r="A2851" s="68">
        <v>479</v>
      </c>
      <c r="C2851" s="68">
        <v>20</v>
      </c>
    </row>
    <row r="2852" spans="1:3" x14ac:dyDescent="0.55000000000000004">
      <c r="A2852" s="68">
        <v>479</v>
      </c>
      <c r="C2852" s="68">
        <v>20</v>
      </c>
    </row>
    <row r="2853" spans="1:3" x14ac:dyDescent="0.55000000000000004">
      <c r="A2853" s="68">
        <v>479</v>
      </c>
      <c r="C2853" s="68">
        <v>20</v>
      </c>
    </row>
    <row r="2854" spans="1:3" x14ac:dyDescent="0.55000000000000004">
      <c r="A2854" s="68">
        <v>479</v>
      </c>
      <c r="C2854" s="68">
        <v>19</v>
      </c>
    </row>
    <row r="2855" spans="1:3" x14ac:dyDescent="0.55000000000000004">
      <c r="A2855" s="68">
        <v>479</v>
      </c>
      <c r="C2855" s="68">
        <v>20</v>
      </c>
    </row>
    <row r="2856" spans="1:3" x14ac:dyDescent="0.55000000000000004">
      <c r="A2856" s="68">
        <v>479</v>
      </c>
      <c r="C2856" s="68">
        <v>20</v>
      </c>
    </row>
    <row r="2857" spans="1:3" x14ac:dyDescent="0.55000000000000004">
      <c r="A2857" s="68">
        <v>479</v>
      </c>
      <c r="C2857" s="68">
        <v>20</v>
      </c>
    </row>
    <row r="2858" spans="1:3" x14ac:dyDescent="0.55000000000000004">
      <c r="A2858" s="68">
        <v>479</v>
      </c>
      <c r="C2858" s="68">
        <v>20</v>
      </c>
    </row>
    <row r="2859" spans="1:3" x14ac:dyDescent="0.55000000000000004">
      <c r="A2859" s="68">
        <v>479</v>
      </c>
      <c r="C2859" s="68">
        <v>20</v>
      </c>
    </row>
    <row r="2860" spans="1:3" x14ac:dyDescent="0.55000000000000004">
      <c r="A2860" s="68">
        <v>479</v>
      </c>
      <c r="C2860" s="68">
        <v>20</v>
      </c>
    </row>
    <row r="2861" spans="1:3" x14ac:dyDescent="0.55000000000000004">
      <c r="A2861" s="68">
        <v>479</v>
      </c>
      <c r="C2861" s="68">
        <v>20</v>
      </c>
    </row>
    <row r="2862" spans="1:3" x14ac:dyDescent="0.55000000000000004">
      <c r="A2862" s="68">
        <v>479</v>
      </c>
      <c r="C2862" s="68">
        <v>20</v>
      </c>
    </row>
    <row r="2863" spans="1:3" x14ac:dyDescent="0.55000000000000004">
      <c r="A2863" s="68">
        <v>479</v>
      </c>
      <c r="C2863" s="68">
        <v>20</v>
      </c>
    </row>
    <row r="2864" spans="1:3" x14ac:dyDescent="0.55000000000000004">
      <c r="A2864" s="68">
        <v>479</v>
      </c>
      <c r="C2864" s="68">
        <v>20</v>
      </c>
    </row>
    <row r="2865" spans="1:3" x14ac:dyDescent="0.55000000000000004">
      <c r="A2865" s="68">
        <v>479</v>
      </c>
      <c r="C2865" s="68">
        <v>20</v>
      </c>
    </row>
    <row r="2866" spans="1:3" x14ac:dyDescent="0.55000000000000004">
      <c r="A2866" s="68">
        <v>719</v>
      </c>
      <c r="C2866" s="68">
        <v>20.239999999999998</v>
      </c>
    </row>
    <row r="2867" spans="1:3" x14ac:dyDescent="0.55000000000000004">
      <c r="A2867" s="68">
        <v>719</v>
      </c>
      <c r="C2867" s="68">
        <v>21.84</v>
      </c>
    </row>
    <row r="2868" spans="1:3" x14ac:dyDescent="0.55000000000000004">
      <c r="A2868" s="68">
        <v>719</v>
      </c>
      <c r="C2868" s="68">
        <v>17.97</v>
      </c>
    </row>
    <row r="2869" spans="1:3" x14ac:dyDescent="0.55000000000000004">
      <c r="A2869" s="68">
        <v>719</v>
      </c>
      <c r="C2869" s="68">
        <v>21.03</v>
      </c>
    </row>
    <row r="2870" spans="1:3" x14ac:dyDescent="0.55000000000000004">
      <c r="A2870" s="68">
        <v>719</v>
      </c>
      <c r="C2870" s="68">
        <v>17.97</v>
      </c>
    </row>
    <row r="2871" spans="1:3" x14ac:dyDescent="0.55000000000000004">
      <c r="A2871" s="68">
        <v>719</v>
      </c>
      <c r="C2871" s="68">
        <v>21.84</v>
      </c>
    </row>
    <row r="2872" spans="1:3" x14ac:dyDescent="0.55000000000000004">
      <c r="A2872" s="68">
        <v>719</v>
      </c>
      <c r="C2872" s="68">
        <v>21.84</v>
      </c>
    </row>
    <row r="2873" spans="1:3" x14ac:dyDescent="0.55000000000000004">
      <c r="A2873" s="68">
        <v>719</v>
      </c>
      <c r="C2873" s="68">
        <v>22.84</v>
      </c>
    </row>
    <row r="2874" spans="1:3" x14ac:dyDescent="0.55000000000000004">
      <c r="A2874" s="68">
        <v>719</v>
      </c>
      <c r="C2874" s="68">
        <v>21.84</v>
      </c>
    </row>
    <row r="2875" spans="1:3" x14ac:dyDescent="0.55000000000000004">
      <c r="A2875" s="68">
        <v>719</v>
      </c>
      <c r="C2875" s="68">
        <v>16.420000000000002</v>
      </c>
    </row>
    <row r="2876" spans="1:3" x14ac:dyDescent="0.55000000000000004">
      <c r="A2876" s="68">
        <v>719</v>
      </c>
      <c r="C2876" s="68">
        <v>20.239999999999998</v>
      </c>
    </row>
    <row r="2877" spans="1:3" x14ac:dyDescent="0.55000000000000004">
      <c r="A2877" s="68">
        <v>719</v>
      </c>
      <c r="C2877" s="68">
        <v>21.84</v>
      </c>
    </row>
    <row r="2878" spans="1:3" x14ac:dyDescent="0.55000000000000004">
      <c r="A2878" s="68">
        <v>719</v>
      </c>
      <c r="C2878" s="68">
        <v>21.84</v>
      </c>
    </row>
    <row r="2879" spans="1:3" x14ac:dyDescent="0.55000000000000004">
      <c r="A2879" s="68">
        <v>719</v>
      </c>
      <c r="C2879" s="68">
        <v>18.739999999999998</v>
      </c>
    </row>
    <row r="2880" spans="1:3" x14ac:dyDescent="0.55000000000000004">
      <c r="A2880" s="68">
        <v>719</v>
      </c>
      <c r="C2880" s="68">
        <v>17.97</v>
      </c>
    </row>
    <row r="2881" spans="1:3" x14ac:dyDescent="0.55000000000000004">
      <c r="A2881" s="68">
        <v>560</v>
      </c>
      <c r="C2881" s="68">
        <v>23.23</v>
      </c>
    </row>
    <row r="2882" spans="1:3" x14ac:dyDescent="0.55000000000000004">
      <c r="A2882" s="68">
        <v>560</v>
      </c>
      <c r="C2882" s="68">
        <v>20.399999999999999</v>
      </c>
    </row>
    <row r="2883" spans="1:3" x14ac:dyDescent="0.55000000000000004">
      <c r="A2883" s="68">
        <v>560</v>
      </c>
      <c r="C2883" s="68">
        <v>19.454499999999999</v>
      </c>
    </row>
    <row r="2884" spans="1:3" x14ac:dyDescent="0.55000000000000004">
      <c r="A2884" s="68">
        <v>560</v>
      </c>
      <c r="C2884" s="68">
        <v>20.399999999999999</v>
      </c>
    </row>
    <row r="2885" spans="1:3" x14ac:dyDescent="0.55000000000000004">
      <c r="A2885" s="68">
        <v>560</v>
      </c>
      <c r="C2885" s="68">
        <v>20.6</v>
      </c>
    </row>
    <row r="2886" spans="1:3" x14ac:dyDescent="0.55000000000000004">
      <c r="A2886" s="68">
        <v>560</v>
      </c>
      <c r="C2886" s="68">
        <v>19.75</v>
      </c>
    </row>
    <row r="2887" spans="1:3" x14ac:dyDescent="0.55000000000000004">
      <c r="A2887" s="68">
        <v>560</v>
      </c>
      <c r="C2887" s="68">
        <v>22</v>
      </c>
    </row>
    <row r="2888" spans="1:3" x14ac:dyDescent="0.55000000000000004">
      <c r="A2888" s="68">
        <v>560</v>
      </c>
      <c r="C2888" s="68">
        <v>22.62</v>
      </c>
    </row>
    <row r="2889" spans="1:3" x14ac:dyDescent="0.55000000000000004">
      <c r="A2889" s="68">
        <v>560</v>
      </c>
      <c r="C2889" s="68">
        <v>21.01</v>
      </c>
    </row>
    <row r="2890" spans="1:3" x14ac:dyDescent="0.55000000000000004">
      <c r="A2890" s="68">
        <v>560</v>
      </c>
      <c r="C2890" s="68">
        <v>21.08</v>
      </c>
    </row>
    <row r="2891" spans="1:3" x14ac:dyDescent="0.55000000000000004">
      <c r="A2891" s="68">
        <v>560</v>
      </c>
      <c r="C2891" s="68">
        <v>17.100000000000001</v>
      </c>
    </row>
    <row r="2892" spans="1:3" x14ac:dyDescent="0.55000000000000004">
      <c r="A2892" s="68">
        <v>560</v>
      </c>
      <c r="C2892" s="68">
        <v>21.21</v>
      </c>
    </row>
    <row r="2893" spans="1:3" x14ac:dyDescent="0.55000000000000004">
      <c r="A2893" s="68">
        <v>560</v>
      </c>
      <c r="C2893" s="68">
        <v>23.31</v>
      </c>
    </row>
    <row r="2894" spans="1:3" x14ac:dyDescent="0.55000000000000004">
      <c r="A2894" s="68">
        <v>560</v>
      </c>
      <c r="C2894" s="68">
        <v>21.75</v>
      </c>
    </row>
    <row r="2895" spans="1:3" x14ac:dyDescent="0.55000000000000004">
      <c r="A2895" s="68">
        <v>560</v>
      </c>
      <c r="C2895" s="68">
        <v>22.32</v>
      </c>
    </row>
    <row r="2896" spans="1:3" x14ac:dyDescent="0.55000000000000004">
      <c r="A2896" s="68">
        <v>560</v>
      </c>
      <c r="C2896" s="68">
        <v>19.454499999999999</v>
      </c>
    </row>
    <row r="2897" spans="1:3" x14ac:dyDescent="0.55000000000000004">
      <c r="A2897" s="68">
        <v>560</v>
      </c>
      <c r="C2897" s="68">
        <v>20.55</v>
      </c>
    </row>
    <row r="2898" spans="1:3" x14ac:dyDescent="0.55000000000000004">
      <c r="A2898" s="68">
        <v>560</v>
      </c>
      <c r="C2898" s="68">
        <v>23.58</v>
      </c>
    </row>
    <row r="2899" spans="1:3" x14ac:dyDescent="0.55000000000000004">
      <c r="A2899" s="68">
        <v>560</v>
      </c>
      <c r="C2899" s="68">
        <v>18</v>
      </c>
    </row>
    <row r="2900" spans="1:3" x14ac:dyDescent="0.55000000000000004">
      <c r="A2900" s="68">
        <v>560</v>
      </c>
      <c r="C2900" s="68">
        <v>23.14</v>
      </c>
    </row>
    <row r="2901" spans="1:3" x14ac:dyDescent="0.55000000000000004">
      <c r="A2901" s="68">
        <v>560</v>
      </c>
      <c r="C2901" s="68">
        <v>21.81</v>
      </c>
    </row>
    <row r="2902" spans="1:3" x14ac:dyDescent="0.55000000000000004">
      <c r="A2902" s="68">
        <v>560</v>
      </c>
      <c r="C2902" s="68">
        <v>20.55</v>
      </c>
    </row>
    <row r="2903" spans="1:3" x14ac:dyDescent="0.55000000000000004">
      <c r="A2903" s="68">
        <v>560</v>
      </c>
      <c r="C2903" s="68">
        <v>21.21</v>
      </c>
    </row>
    <row r="2904" spans="1:3" x14ac:dyDescent="0.55000000000000004">
      <c r="A2904" s="68">
        <v>560</v>
      </c>
      <c r="C2904" s="68">
        <v>19.187999999999999</v>
      </c>
    </row>
    <row r="2905" spans="1:3" x14ac:dyDescent="0.55000000000000004">
      <c r="A2905" s="68">
        <v>560</v>
      </c>
      <c r="C2905" s="68">
        <v>19.8338</v>
      </c>
    </row>
    <row r="2906" spans="1:3" x14ac:dyDescent="0.55000000000000004">
      <c r="A2906" s="68">
        <v>560</v>
      </c>
      <c r="C2906" s="68">
        <v>21.08</v>
      </c>
    </row>
    <row r="2907" spans="1:3" x14ac:dyDescent="0.55000000000000004">
      <c r="A2907" s="68">
        <v>560</v>
      </c>
      <c r="C2907" s="68">
        <v>21.81</v>
      </c>
    </row>
    <row r="2908" spans="1:3" x14ac:dyDescent="0.55000000000000004">
      <c r="A2908" s="68">
        <v>560</v>
      </c>
      <c r="C2908" s="68">
        <v>17.600000000000001</v>
      </c>
    </row>
    <row r="2909" spans="1:3" x14ac:dyDescent="0.55000000000000004">
      <c r="A2909" s="68">
        <v>560</v>
      </c>
      <c r="C2909" s="68">
        <v>20.55</v>
      </c>
    </row>
    <row r="2910" spans="1:3" x14ac:dyDescent="0.55000000000000004">
      <c r="A2910" s="68">
        <v>560</v>
      </c>
      <c r="C2910" s="68">
        <v>18.1938</v>
      </c>
    </row>
    <row r="2911" spans="1:3" x14ac:dyDescent="0.55000000000000004">
      <c r="A2911" s="68">
        <v>560</v>
      </c>
      <c r="C2911" s="68">
        <v>23.31</v>
      </c>
    </row>
    <row r="2912" spans="1:3" x14ac:dyDescent="0.55000000000000004">
      <c r="A2912" s="68">
        <v>560</v>
      </c>
      <c r="C2912" s="68">
        <v>22</v>
      </c>
    </row>
    <row r="2913" spans="1:3" x14ac:dyDescent="0.55000000000000004">
      <c r="A2913" s="68">
        <v>560</v>
      </c>
      <c r="C2913" s="68">
        <v>21.81</v>
      </c>
    </row>
    <row r="2914" spans="1:3" x14ac:dyDescent="0.55000000000000004">
      <c r="A2914" s="68">
        <v>560</v>
      </c>
      <c r="C2914" s="68">
        <v>17.100000000000001</v>
      </c>
    </row>
    <row r="2915" spans="1:3" x14ac:dyDescent="0.55000000000000004">
      <c r="A2915" s="68">
        <v>560</v>
      </c>
      <c r="C2915" s="68">
        <v>20.75</v>
      </c>
    </row>
    <row r="2916" spans="1:3" x14ac:dyDescent="0.55000000000000004">
      <c r="A2916" s="68">
        <v>560</v>
      </c>
      <c r="C2916" s="68">
        <v>19.854300000000002</v>
      </c>
    </row>
    <row r="2917" spans="1:3" x14ac:dyDescent="0.55000000000000004">
      <c r="A2917" s="68">
        <v>560</v>
      </c>
      <c r="C2917" s="68">
        <v>21.63</v>
      </c>
    </row>
    <row r="2918" spans="1:3" x14ac:dyDescent="0.55000000000000004">
      <c r="A2918" s="68">
        <v>560</v>
      </c>
      <c r="C2918" s="68">
        <v>19.372499999999999</v>
      </c>
    </row>
    <row r="2919" spans="1:3" x14ac:dyDescent="0.55000000000000004">
      <c r="A2919" s="68">
        <v>560</v>
      </c>
      <c r="C2919" s="68">
        <v>23.31</v>
      </c>
    </row>
    <row r="2920" spans="1:3" x14ac:dyDescent="0.55000000000000004">
      <c r="A2920" s="68">
        <v>560</v>
      </c>
      <c r="C2920" s="68">
        <v>23.31</v>
      </c>
    </row>
    <row r="2921" spans="1:3" x14ac:dyDescent="0.55000000000000004">
      <c r="A2921" s="68">
        <v>560</v>
      </c>
      <c r="C2921" s="68">
        <v>25.36</v>
      </c>
    </row>
    <row r="2922" spans="1:3" x14ac:dyDescent="0.55000000000000004">
      <c r="A2922" s="68">
        <v>560</v>
      </c>
      <c r="C2922" s="68">
        <v>23.31</v>
      </c>
    </row>
    <row r="2923" spans="1:3" x14ac:dyDescent="0.55000000000000004">
      <c r="A2923" s="68">
        <v>560</v>
      </c>
      <c r="C2923" s="68">
        <v>20.75</v>
      </c>
    </row>
    <row r="2924" spans="1:3" x14ac:dyDescent="0.55000000000000004">
      <c r="A2924" s="68">
        <v>560</v>
      </c>
      <c r="C2924" s="68">
        <v>18.25</v>
      </c>
    </row>
    <row r="2925" spans="1:3" x14ac:dyDescent="0.55000000000000004">
      <c r="A2925" s="68">
        <v>560</v>
      </c>
      <c r="C2925" s="68">
        <v>20.58</v>
      </c>
    </row>
    <row r="2926" spans="1:3" x14ac:dyDescent="0.55000000000000004">
      <c r="A2926" s="68">
        <v>560</v>
      </c>
      <c r="C2926" s="68">
        <v>23.53</v>
      </c>
    </row>
    <row r="2927" spans="1:3" x14ac:dyDescent="0.55000000000000004">
      <c r="A2927" s="68">
        <v>560</v>
      </c>
      <c r="C2927" s="68">
        <v>21.15</v>
      </c>
    </row>
    <row r="2928" spans="1:3" x14ac:dyDescent="0.55000000000000004">
      <c r="A2928" s="68">
        <v>560</v>
      </c>
      <c r="C2928" s="68">
        <v>21.268800000000002</v>
      </c>
    </row>
    <row r="2929" spans="1:3" x14ac:dyDescent="0.55000000000000004">
      <c r="A2929" s="68">
        <v>560</v>
      </c>
      <c r="C2929" s="68">
        <v>20.75</v>
      </c>
    </row>
    <row r="2930" spans="1:3" x14ac:dyDescent="0.55000000000000004">
      <c r="A2930" s="68">
        <v>560</v>
      </c>
      <c r="C2930" s="68">
        <v>21.6</v>
      </c>
    </row>
    <row r="2931" spans="1:3" x14ac:dyDescent="0.55000000000000004">
      <c r="A2931" s="68">
        <v>560</v>
      </c>
      <c r="C2931" s="68">
        <v>20.3</v>
      </c>
    </row>
    <row r="2932" spans="1:3" x14ac:dyDescent="0.55000000000000004">
      <c r="A2932" s="68">
        <v>560</v>
      </c>
      <c r="C2932" s="68">
        <v>23.53</v>
      </c>
    </row>
    <row r="2933" spans="1:3" x14ac:dyDescent="0.55000000000000004">
      <c r="A2933" s="68">
        <v>560</v>
      </c>
      <c r="C2933" s="68">
        <v>19.454499999999999</v>
      </c>
    </row>
    <row r="2934" spans="1:3" x14ac:dyDescent="0.55000000000000004">
      <c r="A2934" s="68">
        <v>560</v>
      </c>
      <c r="C2934" s="68">
        <v>18.634499999999999</v>
      </c>
    </row>
    <row r="2935" spans="1:3" x14ac:dyDescent="0.55000000000000004">
      <c r="A2935" s="68">
        <v>560</v>
      </c>
      <c r="C2935" s="68">
        <v>20.55</v>
      </c>
    </row>
    <row r="2936" spans="1:3" x14ac:dyDescent="0.55000000000000004">
      <c r="A2936" s="68">
        <v>560</v>
      </c>
      <c r="C2936" s="68">
        <v>19.64</v>
      </c>
    </row>
    <row r="2937" spans="1:3" x14ac:dyDescent="0.55000000000000004">
      <c r="A2937" s="68">
        <v>560</v>
      </c>
      <c r="C2937" s="68">
        <v>18.901</v>
      </c>
    </row>
    <row r="2938" spans="1:3" x14ac:dyDescent="0.55000000000000004">
      <c r="A2938" s="68">
        <v>560</v>
      </c>
      <c r="C2938" s="68">
        <v>19.475000000000001</v>
      </c>
    </row>
    <row r="2939" spans="1:3" x14ac:dyDescent="0.55000000000000004">
      <c r="A2939" s="68">
        <v>560</v>
      </c>
      <c r="C2939" s="68">
        <v>18.7165</v>
      </c>
    </row>
    <row r="2940" spans="1:3" x14ac:dyDescent="0.55000000000000004">
      <c r="A2940" s="68">
        <v>560</v>
      </c>
      <c r="C2940" s="68">
        <v>20.309999999999999</v>
      </c>
    </row>
    <row r="2941" spans="1:3" x14ac:dyDescent="0.55000000000000004">
      <c r="A2941" s="68">
        <v>560</v>
      </c>
      <c r="C2941" s="68">
        <v>20.55</v>
      </c>
    </row>
    <row r="2942" spans="1:3" x14ac:dyDescent="0.55000000000000004">
      <c r="A2942" s="68">
        <v>560</v>
      </c>
      <c r="C2942" s="68">
        <v>19</v>
      </c>
    </row>
    <row r="2943" spans="1:3" x14ac:dyDescent="0.55000000000000004">
      <c r="A2943" s="68">
        <v>560</v>
      </c>
      <c r="C2943" s="68">
        <v>21.81</v>
      </c>
    </row>
    <row r="2944" spans="1:3" x14ac:dyDescent="0.55000000000000004">
      <c r="A2944" s="68">
        <v>560</v>
      </c>
      <c r="C2944" s="68">
        <v>21.01</v>
      </c>
    </row>
    <row r="2945" spans="1:3" x14ac:dyDescent="0.55000000000000004">
      <c r="A2945" s="68">
        <v>560</v>
      </c>
      <c r="C2945" s="68">
        <v>20.7</v>
      </c>
    </row>
    <row r="2946" spans="1:3" x14ac:dyDescent="0.55000000000000004">
      <c r="A2946" s="68">
        <v>560</v>
      </c>
      <c r="C2946" s="68">
        <v>21.22</v>
      </c>
    </row>
    <row r="2947" spans="1:3" x14ac:dyDescent="0.55000000000000004">
      <c r="A2947" s="68">
        <v>560</v>
      </c>
      <c r="C2947" s="68">
        <v>21.81</v>
      </c>
    </row>
    <row r="2948" spans="1:3" x14ac:dyDescent="0.55000000000000004">
      <c r="A2948" s="68">
        <v>560</v>
      </c>
      <c r="C2948" s="68">
        <v>21.37</v>
      </c>
    </row>
    <row r="2949" spans="1:3" x14ac:dyDescent="0.55000000000000004">
      <c r="A2949" s="68">
        <v>560</v>
      </c>
      <c r="C2949" s="68">
        <v>22</v>
      </c>
    </row>
    <row r="2950" spans="1:3" x14ac:dyDescent="0.55000000000000004">
      <c r="A2950" s="68">
        <v>560</v>
      </c>
      <c r="C2950" s="68">
        <v>21.21</v>
      </c>
    </row>
    <row r="2951" spans="1:3" x14ac:dyDescent="0.55000000000000004">
      <c r="A2951" s="68">
        <v>560</v>
      </c>
      <c r="C2951" s="68">
        <v>21.22</v>
      </c>
    </row>
    <row r="2952" spans="1:3" x14ac:dyDescent="0.55000000000000004">
      <c r="A2952" s="68">
        <v>560</v>
      </c>
      <c r="C2952" s="68">
        <v>22.04</v>
      </c>
    </row>
    <row r="2953" spans="1:3" x14ac:dyDescent="0.55000000000000004">
      <c r="A2953" s="68">
        <v>560</v>
      </c>
      <c r="C2953" s="68">
        <v>18</v>
      </c>
    </row>
    <row r="2954" spans="1:3" x14ac:dyDescent="0.55000000000000004">
      <c r="A2954" s="68">
        <v>560</v>
      </c>
      <c r="C2954" s="68">
        <v>21.81</v>
      </c>
    </row>
    <row r="2955" spans="1:3" x14ac:dyDescent="0.55000000000000004">
      <c r="A2955" s="68">
        <v>560</v>
      </c>
      <c r="C2955" s="68">
        <v>20.3</v>
      </c>
    </row>
    <row r="2956" spans="1:3" x14ac:dyDescent="0.55000000000000004">
      <c r="A2956" s="68">
        <v>560</v>
      </c>
      <c r="C2956" s="68">
        <v>21.1</v>
      </c>
    </row>
    <row r="2957" spans="1:3" x14ac:dyDescent="0.55000000000000004">
      <c r="A2957" s="68">
        <v>560</v>
      </c>
      <c r="C2957" s="68">
        <v>22</v>
      </c>
    </row>
    <row r="2958" spans="1:3" x14ac:dyDescent="0.55000000000000004">
      <c r="A2958" s="68">
        <v>560</v>
      </c>
      <c r="C2958" s="68">
        <v>18.849800000000002</v>
      </c>
    </row>
    <row r="2959" spans="1:3" x14ac:dyDescent="0.55000000000000004">
      <c r="A2959" s="68">
        <v>560</v>
      </c>
      <c r="C2959" s="68">
        <v>20.76</v>
      </c>
    </row>
    <row r="2960" spans="1:3" x14ac:dyDescent="0.55000000000000004">
      <c r="A2960" s="68">
        <v>560</v>
      </c>
      <c r="C2960" s="68">
        <v>23</v>
      </c>
    </row>
    <row r="2961" spans="1:3" x14ac:dyDescent="0.55000000000000004">
      <c r="A2961" s="68">
        <v>560</v>
      </c>
      <c r="C2961" s="68">
        <v>19.218800000000002</v>
      </c>
    </row>
    <row r="2962" spans="1:3" x14ac:dyDescent="0.55000000000000004">
      <c r="A2962" s="68">
        <v>560</v>
      </c>
      <c r="C2962" s="68">
        <v>21.25</v>
      </c>
    </row>
    <row r="2963" spans="1:3" x14ac:dyDescent="0.55000000000000004">
      <c r="A2963" s="68">
        <v>852</v>
      </c>
      <c r="C2963" s="68">
        <v>20.13</v>
      </c>
    </row>
    <row r="2964" spans="1:3" x14ac:dyDescent="0.55000000000000004">
      <c r="A2964" s="68">
        <v>852</v>
      </c>
      <c r="C2964" s="68">
        <v>20.13</v>
      </c>
    </row>
    <row r="2965" spans="1:3" x14ac:dyDescent="0.55000000000000004">
      <c r="A2965" s="68">
        <v>852</v>
      </c>
      <c r="C2965" s="68">
        <v>20.13</v>
      </c>
    </row>
    <row r="2966" spans="1:3" x14ac:dyDescent="0.55000000000000004">
      <c r="A2966" s="68">
        <v>852</v>
      </c>
      <c r="C2966" s="68">
        <v>20.13</v>
      </c>
    </row>
    <row r="2967" spans="1:3" x14ac:dyDescent="0.55000000000000004">
      <c r="A2967" s="68">
        <v>852</v>
      </c>
      <c r="C2967" s="68">
        <v>20.13</v>
      </c>
    </row>
    <row r="2968" spans="1:3" x14ac:dyDescent="0.55000000000000004">
      <c r="A2968" s="68">
        <v>852</v>
      </c>
      <c r="C2968" s="68">
        <v>20.13</v>
      </c>
    </row>
    <row r="2969" spans="1:3" x14ac:dyDescent="0.55000000000000004">
      <c r="A2969" s="68">
        <v>852</v>
      </c>
      <c r="C2969" s="68">
        <v>20.13</v>
      </c>
    </row>
    <row r="2970" spans="1:3" x14ac:dyDescent="0.55000000000000004">
      <c r="A2970" s="68">
        <v>852</v>
      </c>
      <c r="C2970" s="68">
        <v>20.13</v>
      </c>
    </row>
    <row r="2971" spans="1:3" x14ac:dyDescent="0.55000000000000004">
      <c r="A2971" s="68">
        <v>852</v>
      </c>
      <c r="C2971" s="68">
        <v>20.13</v>
      </c>
    </row>
    <row r="2972" spans="1:3" x14ac:dyDescent="0.55000000000000004">
      <c r="A2972" s="68">
        <v>852</v>
      </c>
      <c r="C2972" s="68">
        <v>20.13</v>
      </c>
    </row>
    <row r="2973" spans="1:3" x14ac:dyDescent="0.55000000000000004">
      <c r="A2973" s="68">
        <v>852</v>
      </c>
      <c r="C2973" s="68">
        <v>20.13</v>
      </c>
    </row>
    <row r="2974" spans="1:3" x14ac:dyDescent="0.55000000000000004">
      <c r="A2974" s="68">
        <v>852</v>
      </c>
      <c r="C2974" s="68">
        <v>20.13</v>
      </c>
    </row>
    <row r="2975" spans="1:3" x14ac:dyDescent="0.55000000000000004">
      <c r="A2975" s="68">
        <v>852</v>
      </c>
      <c r="C2975" s="68">
        <v>20.13</v>
      </c>
    </row>
    <row r="2976" spans="1:3" x14ac:dyDescent="0.55000000000000004">
      <c r="A2976" s="68">
        <v>852</v>
      </c>
      <c r="C2976" s="68">
        <v>20.13</v>
      </c>
    </row>
    <row r="2977" spans="1:3" x14ac:dyDescent="0.55000000000000004">
      <c r="A2977" s="68">
        <v>852</v>
      </c>
      <c r="C2977" s="68">
        <v>20.48</v>
      </c>
    </row>
    <row r="2978" spans="1:3" x14ac:dyDescent="0.55000000000000004">
      <c r="A2978" s="68">
        <v>852</v>
      </c>
      <c r="C2978" s="68">
        <v>20.48</v>
      </c>
    </row>
    <row r="2979" spans="1:3" x14ac:dyDescent="0.55000000000000004">
      <c r="A2979" s="68">
        <v>852</v>
      </c>
      <c r="C2979" s="68">
        <v>20.48</v>
      </c>
    </row>
    <row r="2980" spans="1:3" x14ac:dyDescent="0.55000000000000004">
      <c r="A2980" s="68">
        <v>852</v>
      </c>
      <c r="C2980" s="68">
        <v>20.48</v>
      </c>
    </row>
    <row r="2981" spans="1:3" x14ac:dyDescent="0.55000000000000004">
      <c r="A2981" s="68">
        <v>852</v>
      </c>
      <c r="C2981" s="68">
        <v>20.84</v>
      </c>
    </row>
    <row r="2982" spans="1:3" x14ac:dyDescent="0.55000000000000004">
      <c r="A2982" s="68">
        <v>852</v>
      </c>
      <c r="C2982" s="68">
        <v>20.84</v>
      </c>
    </row>
    <row r="2983" spans="1:3" x14ac:dyDescent="0.55000000000000004">
      <c r="A2983" s="68">
        <v>852</v>
      </c>
      <c r="C2983" s="68">
        <v>20.84</v>
      </c>
    </row>
    <row r="2984" spans="1:3" x14ac:dyDescent="0.55000000000000004">
      <c r="A2984" s="68">
        <v>852</v>
      </c>
      <c r="C2984" s="68">
        <v>20.84</v>
      </c>
    </row>
    <row r="2985" spans="1:3" x14ac:dyDescent="0.55000000000000004">
      <c r="A2985" s="68">
        <v>852</v>
      </c>
      <c r="C2985" s="68">
        <v>20.84</v>
      </c>
    </row>
    <row r="2986" spans="1:3" x14ac:dyDescent="0.55000000000000004">
      <c r="A2986" s="68">
        <v>852</v>
      </c>
      <c r="C2986" s="68">
        <v>21.2</v>
      </c>
    </row>
    <row r="2987" spans="1:3" x14ac:dyDescent="0.55000000000000004">
      <c r="A2987" s="68">
        <v>852</v>
      </c>
      <c r="C2987" s="68">
        <v>21.95</v>
      </c>
    </row>
    <row r="2988" spans="1:3" x14ac:dyDescent="0.55000000000000004">
      <c r="A2988" s="68">
        <v>852</v>
      </c>
      <c r="C2988" s="68">
        <v>23.94</v>
      </c>
    </row>
    <row r="2989" spans="1:3" x14ac:dyDescent="0.55000000000000004">
      <c r="A2989" s="68">
        <v>852</v>
      </c>
      <c r="C2989" s="68">
        <v>23.94</v>
      </c>
    </row>
    <row r="2990" spans="1:3" x14ac:dyDescent="0.55000000000000004">
      <c r="A2990" s="68">
        <v>852</v>
      </c>
      <c r="C2990" s="68">
        <v>23.94</v>
      </c>
    </row>
    <row r="2991" spans="1:3" x14ac:dyDescent="0.55000000000000004">
      <c r="A2991" s="68">
        <v>852</v>
      </c>
      <c r="C2991" s="68">
        <v>23.94</v>
      </c>
    </row>
    <row r="2992" spans="1:3" x14ac:dyDescent="0.55000000000000004">
      <c r="A2992" s="68">
        <v>852</v>
      </c>
      <c r="C2992" s="68">
        <v>23.94</v>
      </c>
    </row>
    <row r="2993" spans="1:3" x14ac:dyDescent="0.55000000000000004">
      <c r="A2993" s="68">
        <v>852</v>
      </c>
      <c r="C2993" s="68">
        <v>23.94</v>
      </c>
    </row>
    <row r="2994" spans="1:3" x14ac:dyDescent="0.55000000000000004">
      <c r="A2994" s="68">
        <v>227</v>
      </c>
      <c r="C2994" s="68">
        <v>15.8</v>
      </c>
    </row>
    <row r="2995" spans="1:3" x14ac:dyDescent="0.55000000000000004">
      <c r="A2995" s="68">
        <v>227</v>
      </c>
      <c r="C2995" s="68">
        <v>19</v>
      </c>
    </row>
    <row r="2996" spans="1:3" x14ac:dyDescent="0.55000000000000004">
      <c r="A2996" s="68">
        <v>227</v>
      </c>
      <c r="C2996" s="68">
        <v>15.8</v>
      </c>
    </row>
    <row r="2997" spans="1:3" x14ac:dyDescent="0.55000000000000004">
      <c r="A2997" s="68">
        <v>227</v>
      </c>
      <c r="C2997" s="68">
        <v>15.8</v>
      </c>
    </row>
    <row r="2998" spans="1:3" x14ac:dyDescent="0.55000000000000004">
      <c r="A2998" s="68">
        <v>227</v>
      </c>
      <c r="C2998" s="68">
        <v>19.75</v>
      </c>
    </row>
    <row r="2999" spans="1:3" x14ac:dyDescent="0.55000000000000004">
      <c r="A2999" s="68">
        <v>227</v>
      </c>
      <c r="C2999" s="68">
        <v>15.3</v>
      </c>
    </row>
    <row r="3000" spans="1:3" x14ac:dyDescent="0.55000000000000004">
      <c r="A3000" s="68">
        <v>227</v>
      </c>
      <c r="C3000" s="68">
        <v>15.8</v>
      </c>
    </row>
    <row r="3001" spans="1:3" x14ac:dyDescent="0.55000000000000004">
      <c r="A3001" s="68">
        <v>227</v>
      </c>
      <c r="C3001" s="68">
        <v>17</v>
      </c>
    </row>
    <row r="3002" spans="1:3" x14ac:dyDescent="0.55000000000000004">
      <c r="A3002" s="68">
        <v>227</v>
      </c>
      <c r="C3002" s="68">
        <v>18.100000000000001</v>
      </c>
    </row>
    <row r="3003" spans="1:3" x14ac:dyDescent="0.55000000000000004">
      <c r="A3003" s="68">
        <v>227</v>
      </c>
      <c r="C3003" s="68">
        <v>16.3</v>
      </c>
    </row>
    <row r="3004" spans="1:3" x14ac:dyDescent="0.55000000000000004">
      <c r="A3004" s="68">
        <v>227</v>
      </c>
      <c r="C3004" s="68">
        <v>17.2</v>
      </c>
    </row>
    <row r="3005" spans="1:3" x14ac:dyDescent="0.55000000000000004">
      <c r="A3005" s="68">
        <v>227</v>
      </c>
      <c r="C3005" s="68">
        <v>21</v>
      </c>
    </row>
    <row r="3006" spans="1:3" x14ac:dyDescent="0.55000000000000004">
      <c r="A3006" s="68">
        <v>227</v>
      </c>
      <c r="C3006" s="68">
        <v>15.8</v>
      </c>
    </row>
  </sheetData>
  <sheetProtection algorithmName="SHA-512" hashValue="tbTaUg6kG1INsIBpSF0mI3dsij5mNLOKTRn6aACqjFf+c9k6/wLeQXH4N+HqOjC18TWQX7Nohs+BZZAngiEdAA==" saltValue="Cint7Q7ti3/kTuOsUW0+U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BA34-1189-4E5F-8793-85CC3C602018}">
  <dimension ref="A1:BM103"/>
  <sheetViews>
    <sheetView topLeftCell="AN1" workbookViewId="0">
      <selection activeCell="BB2" sqref="BB2"/>
    </sheetView>
  </sheetViews>
  <sheetFormatPr defaultColWidth="9.15625" defaultRowHeight="14.4" x14ac:dyDescent="0.55000000000000004"/>
  <cols>
    <col min="1" max="1" width="12.68359375" style="10" customWidth="1"/>
    <col min="2" max="2" width="11" style="10" customWidth="1"/>
    <col min="3" max="3" width="11.83984375" style="10" customWidth="1"/>
    <col min="4" max="5" width="12" style="10" customWidth="1"/>
    <col min="6" max="6" width="10.26171875" style="10" customWidth="1"/>
    <col min="7" max="7" width="12.41796875" style="12" bestFit="1" customWidth="1"/>
    <col min="8" max="8" width="14.26171875" style="12" bestFit="1" customWidth="1"/>
    <col min="9" max="11" width="14.26171875" style="12" customWidth="1"/>
    <col min="12" max="14" width="14.26171875" style="13" customWidth="1"/>
    <col min="15" max="16" width="11.578125" style="10" bestFit="1" customWidth="1"/>
    <col min="17" max="17" width="10" style="10" customWidth="1"/>
    <col min="18" max="18" width="13.26171875" style="10" bestFit="1" customWidth="1"/>
    <col min="19" max="19" width="11.68359375" style="10" customWidth="1"/>
    <col min="20" max="22" width="9.15625" style="13"/>
    <col min="23" max="23" width="10.578125" style="13" bestFit="1" customWidth="1"/>
    <col min="24" max="29" width="10.578125" style="13" customWidth="1"/>
    <col min="30" max="30" width="9.578125" style="10" bestFit="1" customWidth="1"/>
    <col min="31" max="39" width="9.15625" style="10"/>
    <col min="40" max="40" width="14.26171875" style="12" bestFit="1" customWidth="1"/>
    <col min="41" max="45" width="14.26171875" style="12" customWidth="1"/>
    <col min="46" max="53" width="9.15625" style="14"/>
    <col min="54" max="16384" width="9.15625" style="10"/>
  </cols>
  <sheetData>
    <row r="1" spans="1:65" s="5" customFormat="1" ht="129.6" x14ac:dyDescent="0.55000000000000004">
      <c r="A1" s="5" t="s">
        <v>13</v>
      </c>
      <c r="B1" s="5" t="s">
        <v>54</v>
      </c>
      <c r="C1" s="5" t="s">
        <v>90</v>
      </c>
      <c r="D1" s="5" t="s">
        <v>91</v>
      </c>
      <c r="E1" s="5" t="s">
        <v>92</v>
      </c>
      <c r="F1" s="6" t="s">
        <v>93</v>
      </c>
      <c r="G1" s="7" t="s">
        <v>60</v>
      </c>
      <c r="H1" s="7" t="s">
        <v>94</v>
      </c>
      <c r="I1" s="5" t="s">
        <v>95</v>
      </c>
      <c r="J1" s="8" t="s">
        <v>96</v>
      </c>
      <c r="K1" s="7" t="s">
        <v>97</v>
      </c>
      <c r="L1" s="5" t="s">
        <v>98</v>
      </c>
      <c r="M1" s="8" t="s">
        <v>99</v>
      </c>
      <c r="N1" s="7" t="s">
        <v>100</v>
      </c>
      <c r="O1" s="7" t="s">
        <v>101</v>
      </c>
      <c r="P1" s="8" t="s">
        <v>102</v>
      </c>
      <c r="Q1" s="5" t="s">
        <v>103</v>
      </c>
      <c r="R1" s="5" t="s">
        <v>104</v>
      </c>
      <c r="S1" s="5" t="s">
        <v>105</v>
      </c>
      <c r="T1" s="8" t="s">
        <v>106</v>
      </c>
      <c r="U1" s="8" t="s">
        <v>107</v>
      </c>
      <c r="V1" s="8" t="s">
        <v>108</v>
      </c>
      <c r="W1" s="8" t="s">
        <v>109</v>
      </c>
      <c r="X1" s="8" t="s">
        <v>110</v>
      </c>
      <c r="Y1" s="8" t="s">
        <v>111</v>
      </c>
      <c r="Z1" s="8" t="s">
        <v>112</v>
      </c>
      <c r="AA1" s="8" t="s">
        <v>113</v>
      </c>
      <c r="AB1" s="8" t="s">
        <v>114</v>
      </c>
      <c r="AC1" s="8" t="s">
        <v>115</v>
      </c>
      <c r="AD1" s="5" t="s">
        <v>116</v>
      </c>
      <c r="AE1" s="5" t="s">
        <v>117</v>
      </c>
      <c r="AF1" s="5" t="s">
        <v>118</v>
      </c>
      <c r="AG1" s="5" t="s">
        <v>119</v>
      </c>
      <c r="AH1" s="5" t="s">
        <v>120</v>
      </c>
      <c r="AI1" s="5" t="s">
        <v>121</v>
      </c>
      <c r="AJ1" s="5" t="s">
        <v>122</v>
      </c>
      <c r="AK1" s="5" t="s">
        <v>123</v>
      </c>
      <c r="AL1" s="5" t="s">
        <v>124</v>
      </c>
      <c r="AM1" s="5" t="s">
        <v>125</v>
      </c>
      <c r="AN1" s="7" t="s">
        <v>126</v>
      </c>
      <c r="AO1" s="7" t="s">
        <v>127</v>
      </c>
      <c r="AP1" s="7" t="s">
        <v>128</v>
      </c>
      <c r="AQ1" s="7" t="s">
        <v>129</v>
      </c>
      <c r="AR1" s="7" t="s">
        <v>130</v>
      </c>
      <c r="AS1" s="7" t="s">
        <v>72</v>
      </c>
      <c r="AT1" s="9" t="s">
        <v>131</v>
      </c>
      <c r="AU1" s="9" t="s">
        <v>132</v>
      </c>
      <c r="AV1" s="9" t="s">
        <v>133</v>
      </c>
      <c r="AW1" s="9" t="s">
        <v>134</v>
      </c>
      <c r="AX1" s="9" t="s">
        <v>135</v>
      </c>
      <c r="AY1" s="9" t="s">
        <v>136</v>
      </c>
      <c r="AZ1" s="9" t="s">
        <v>137</v>
      </c>
      <c r="BA1" s="9" t="s">
        <v>138</v>
      </c>
      <c r="BB1" s="5" t="s">
        <v>77</v>
      </c>
    </row>
    <row r="2" spans="1:65" x14ac:dyDescent="0.55000000000000004">
      <c r="A2" s="10">
        <v>142</v>
      </c>
      <c r="B2" s="10" t="s">
        <v>54</v>
      </c>
      <c r="C2" s="10">
        <f>VLOOKUP($A2,'SAS Data'!$1:$1048576,MATCH(C$1,'SAS Data'!$3:$3,0),FALSE)</f>
        <v>8</v>
      </c>
      <c r="D2" s="10">
        <f>VLOOKUP($A2,'SAS Data'!$1:$1048576,MATCH(D$1,'SAS Data'!$3:$3,0),FALSE)</f>
        <v>0</v>
      </c>
      <c r="E2" s="10">
        <f t="shared" ref="E2" si="0">SUM(C2:D2)</f>
        <v>8</v>
      </c>
      <c r="F2" s="11">
        <f>VLOOKUP($A2,'SAS Data'!$1:$1048576,MATCH(F$1,'SAS Data'!$3:$3,0),FALSE)</f>
        <v>0</v>
      </c>
      <c r="G2" s="12">
        <f>+Dietary_Sample[[#This Row],[Diet Cph]]*Dietary_Sample[[#This Row],[Diet Hrsn]]</f>
        <v>0</v>
      </c>
      <c r="H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116461.66255258305</v>
      </c>
      <c r="I2" s="17">
        <f>+Dietary_Sample[[#This Row],[Employee count Sample Data Aide]]/Dietary_Sample[[#This Row],[Total aide &amp; Cook]]*Dietary_Sample[[#This Row],[Diet Hrsn]]</f>
        <v>4669.6666666666661</v>
      </c>
      <c r="J2" s="13">
        <f>IF(Dietary_Sample[[#This Row],[Aide Hours]]=0,0,Dietary_Sample[[#This Row],[Aide cost estimator]]/Dietary_Sample[[#This Row],[Aide Hours]])</f>
        <v>24.94003766562561</v>
      </c>
      <c r="K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272297.59937046014</v>
      </c>
      <c r="L2" s="17">
        <f>+Dietary_Sample[[#This Row],[Employee count Sample Data Cook]]/Dietary_Sample[[#This Row],[Total aide &amp; Cook]]*Dietary_Sample[[#This Row],[Diet Hrsn]]</f>
        <v>9339.3333333333321</v>
      </c>
      <c r="M2" s="13">
        <f>IF(Dietary_Sample[[#This Row],[Cook Hours]]=0,0,Dietary_Sample[[#This Row],[Cook cost estimator]]/Dietary_Sample[[#This Row],[Cook Hours]])</f>
        <v>29.155999647061908</v>
      </c>
      <c r="N2" s="12">
        <f>VLOOKUP(A2,'Estimator data 120523'!$A:$F,5,FALSE)</f>
        <v>388759.26192304323</v>
      </c>
      <c r="O2" s="12">
        <f>VLOOKUP($A2,'SAS Data'!$1:$1048576,MATCH(O$1,'SAS Data'!$3:$3,0),FALSE)</f>
        <v>14009</v>
      </c>
      <c r="P2" s="13">
        <f>+Dietary_Sample[[#This Row],[Cost Estimator]]/Dietary_Sample[[#This Row],[Diet Hrsn]]</f>
        <v>27.750678986583143</v>
      </c>
      <c r="Q2" s="10">
        <f>COUNTIFS('Dietary Detail'!$R:$R,$A2,'Dietary Detail'!$U:$U,RIGHT(Q$1,4))</f>
        <v>2</v>
      </c>
      <c r="R2" s="10">
        <f>COUNTIFS('Dietary Detail'!$R:$R,$A2,'Dietary Detail'!$U:$U,RIGHT(R$1,4))</f>
        <v>4</v>
      </c>
      <c r="S2" s="10">
        <f>+Dietary_Sample[[#This Row],[Employee count Sample Data Aide]]+Dietary_Sample[[#This Row],[Employee count Sample Data Cook]]</f>
        <v>6</v>
      </c>
      <c r="T2" s="13">
        <v>17.139199999999999</v>
      </c>
      <c r="U2" s="13">
        <v>17.9712</v>
      </c>
      <c r="V2" s="13">
        <v>17.555199999999999</v>
      </c>
      <c r="W2" s="13">
        <v>17.555199999999999</v>
      </c>
      <c r="X2" s="13">
        <v>19.000800000000002</v>
      </c>
      <c r="Y2" s="13">
        <v>21.351199999999999</v>
      </c>
      <c r="Z2" s="13">
        <v>20.5228</v>
      </c>
      <c r="AA2" s="13">
        <v>20.349399999999999</v>
      </c>
      <c r="AB2" s="13">
        <f>IF(AND(Dietary_Sample[[#This Row],[Aide median]]=0,Dietary_Sample[[#This Row],[Cook median]]=0),0,IF(Dietary_Sample[[#This Row],[Aide median]]=0,1,Dietary_Sample[[#This Row],[Cook median]]/Dietary_Sample[[#This Row],[Aide median]]))</f>
        <v>1.1690439300036457</v>
      </c>
      <c r="AC2" s="13">
        <f>IF(AND(Dietary_Sample[[#This Row],[Aide average]]=0,Dietary_Sample[[#This Row],[Cook average]]=0),0,IF(Dietary_Sample[[#This Row],[Aide average]]=0,1,Dietary_Sample[[#This Row],[Cook average]]/Dietary_Sample[[#This Row],[Aide average]]))</f>
        <v>1.159166514764856</v>
      </c>
      <c r="AD2" s="37">
        <f>COUNTIFS('Dietary Detail'!$R:$R,$A2,'Dietary Detail'!$T:$T,"&lt;"&amp;V2,'Dietary Detail'!$U:$U,RIGHT(AD$1,4))</f>
        <v>1</v>
      </c>
      <c r="AE2" s="37">
        <f>COUNTIFS('Dietary Detail'!$R:$R,$A2,'Dietary Detail'!$T:$T,"&lt;"&amp;W2,'Dietary Detail'!$U:$U,RIGHT(AE$1,4))</f>
        <v>1</v>
      </c>
      <c r="AF2" s="37">
        <f>COUNTIFS('Dietary Detail'!$R:$R,$A2,'Dietary Detail'!$T:$T,"&lt;"&amp;$BG$3,'Dietary Detail'!$U:$U,RIGHT(AF$1,4))</f>
        <v>2</v>
      </c>
      <c r="AG2" s="37">
        <f>COUNTIFS('Dietary Detail'!$R:$R,$A2,'Dietary Detail'!$T:$T,"&lt;"&amp;$BG$4,'Dietary Detail'!$U:$U,RIGHT(AG$1,4))</f>
        <v>0</v>
      </c>
      <c r="AH2" s="37">
        <f>COUNTIFS('Dietary Detail'!$R:$R,$A2,'Dietary Detail'!$T:$T,"&lt;"&amp;$BG$5,'Dietary Detail'!$U:$U,RIGHT(AH$1,4))</f>
        <v>0</v>
      </c>
      <c r="AI2" s="37">
        <f>COUNTIFS('Dietary Detail'!$R:$R,$A2,'Dietary Detail'!$T:$T,"&lt;"&amp;Z2,'Dietary Detail'!$U:$U,RIGHT(AI$1,4))</f>
        <v>2</v>
      </c>
      <c r="AJ2" s="37">
        <f>COUNTIFS('Dietary Detail'!$R:$R,$A2,'Dietary Detail'!$T:$T,"&lt;"&amp;AA2,'Dietary Detail'!$U:$U,RIGHT(AJ$1,4))</f>
        <v>2</v>
      </c>
      <c r="AK2" s="37">
        <f>COUNTIFS('Dietary Detail'!$R:$R,$A2,'Dietary Detail'!$T:$T,"&lt;"&amp;$BH$3,'Dietary Detail'!$U:$U,RIGHT(AK$1,4))</f>
        <v>4</v>
      </c>
      <c r="AL2" s="37">
        <f>COUNTIFS('Dietary Detail'!$R:$R,$A2,'Dietary Detail'!$T:$T,"&lt;"&amp;$BH$4,'Dietary Detail'!$U:$U,RIGHT(AL$1,4))</f>
        <v>1</v>
      </c>
      <c r="AM2" s="37">
        <f>COUNTIFS('Dietary Detail'!$R:$R,$A2,'Dietary Detail'!$T:$T,"&lt;"&amp;$BH$5,'Dietary Detail'!$U:$U,RIGHT(AM$1,4))</f>
        <v>1</v>
      </c>
      <c r="AN2" s="12">
        <f>+Dietary_Sample[[#This Row],[Aide median]]*Dietary_Sample[[#This Row],[Aide Hours]]</f>
        <v>81976.932266666656</v>
      </c>
      <c r="AO2" s="12">
        <f>+Dietary_Sample[[#This Row],[Aide average]]*Dietary_Sample[[#This Row],[Aide Hours]]</f>
        <v>81976.932266666656</v>
      </c>
      <c r="AP2" s="12">
        <f>+Dietary_Sample[[#This Row],[Cook median]]*Dietary_Sample[[#This Row],[Cook Hours]]</f>
        <v>191669.27013333331</v>
      </c>
      <c r="AQ2" s="12">
        <f>+Dietary_Sample[[#This Row],[Cook average]]*Dietary_Sample[[#This Row],[Cook Hours]]</f>
        <v>190049.82973333329</v>
      </c>
      <c r="AR2" s="12">
        <f>+Dietary_Sample[[#This Row],[Est average Aide wage cost]]+Dietary_Sample[[#This Row],[Est average Cook wage cost]]</f>
        <v>272026.76199999993</v>
      </c>
      <c r="AS2" s="12">
        <f>+Dietary_Sample[[#This Row],[Est average Aide wage cost]]+Dietary_Sample[[#This Row],[Est average Cook wage cost]]</f>
        <v>272026.76199999993</v>
      </c>
      <c r="AT2" s="14">
        <f>IF(Dietary_Sample[[#This Row],[Aide cost estimator]]=0,0,Dietary_Sample[[#This Row],[Est median Aide wage cost ]]/Dietary_Sample[[#This Row],[Aide cost estimator]])</f>
        <v>0.7038962905896492</v>
      </c>
      <c r="AU2" s="14">
        <f>IF(Dietary_Sample[[#This Row],[Aide cost estimator]]=0,0,Dietary_Sample[[#This Row],[Est average Aide wage cost]]/Dietary_Sample[[#This Row],[Aide cost estimator]])</f>
        <v>0.7038962905896492</v>
      </c>
      <c r="AV2" s="14">
        <f>IF(Dietary_Sample[[#This Row],[Cook cost estimator]]=0,0,Dietary_Sample[[#This Row],[Est median Cook wage cost]]/Dietary_Sample[[#This Row],[Cook cost estimator]])</f>
        <v>0.70389629058964931</v>
      </c>
      <c r="AW2" s="14">
        <f>IF(Dietary_Sample[[#This Row],[Cook cost estimator]]=0,0,Dietary_Sample[[#This Row],[Est average Cook wage cost]]/Dietary_Sample[[#This Row],[Cook cost estimator]])</f>
        <v>0.6979489726414041</v>
      </c>
      <c r="AX2" s="14">
        <f>IF(Dietary_Sample[[#This Row],[Aide median]]=0,0,Dietary_Sample[[#This Row],[Aide min]]/Dietary_Sample[[#This Row],[Aide median]])</f>
        <v>0.976303317535545</v>
      </c>
      <c r="AY2" s="14">
        <f>IF(Dietary_Sample[[#This Row],[Aide median]]=0,0,Dietary_Sample[[#This Row],[Aide max]]/Dietary_Sample[[#This Row],[Aide median]])</f>
        <v>1.0236966824644549</v>
      </c>
      <c r="AZ2" s="14">
        <f>IF(Dietary_Sample[[#This Row],[Cook median]]=0,0,Dietary_Sample[[#This Row],[Cook min]]/Dietary_Sample[[#This Row],[Cook median]])</f>
        <v>0.92583857953105819</v>
      </c>
      <c r="BA2" s="14">
        <f>IF(Dietary_Sample[[#This Row],[Cook median]]=0,0,Dietary_Sample[[#This Row],[Cook max]]/Dietary_Sample[[#This Row],[Cook median]])</f>
        <v>1.0403648624943964</v>
      </c>
      <c r="BB2" s="12">
        <f>VLOOKUP(A2,Summary!$1:$1048576,2,FALSE)</f>
        <v>2</v>
      </c>
      <c r="BG2" s="10" t="s">
        <v>139</v>
      </c>
      <c r="BH2" s="10" t="s">
        <v>1</v>
      </c>
    </row>
    <row r="3" spans="1:65" x14ac:dyDescent="0.55000000000000004">
      <c r="A3" s="10">
        <v>143</v>
      </c>
      <c r="B3" s="10" t="s">
        <v>54</v>
      </c>
      <c r="C3" s="10">
        <f>VLOOKUP($A3,'SAS Data'!$1:$1048576,MATCH(C$1,'SAS Data'!$3:$3,0),FALSE)</f>
        <v>9</v>
      </c>
      <c r="D3" s="10">
        <f>VLOOKUP($A3,'SAS Data'!$1:$1048576,MATCH(D$1,'SAS Data'!$3:$3,0),FALSE)</f>
        <v>4</v>
      </c>
      <c r="E3" s="10">
        <f t="shared" ref="E3:E66" si="1">SUM(C3:D3)</f>
        <v>13</v>
      </c>
      <c r="F3" s="11">
        <f>VLOOKUP($A3,'SAS Data'!$1:$1048576,MATCH(F$1,'SAS Data'!$3:$3,0),FALSE)</f>
        <v>0</v>
      </c>
      <c r="G3" s="12">
        <f>+Dietary_Sample[[#This Row],[Diet Cph]]*Dietary_Sample[[#This Row],[Diet Hrsn]]</f>
        <v>0</v>
      </c>
      <c r="H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156338.7015184364</v>
      </c>
      <c r="I3" s="17">
        <f>+Dietary_Sample[[#This Row],[Employee count Sample Data Aide]]/Dietary_Sample[[#This Row],[Total aide &amp; Cook]]*Dietary_Sample[[#This Row],[Diet Hrsn]]</f>
        <v>10531.5</v>
      </c>
      <c r="J3" s="13">
        <f>IF(Dietary_Sample[[#This Row],[Aide Hours]]=0,0,Dietary_Sample[[#This Row],[Aide cost estimator]]/Dietary_Sample[[#This Row],[Aide Hours]])</f>
        <v>14.844865547969084</v>
      </c>
      <c r="K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59063.56989034226</v>
      </c>
      <c r="L3" s="17">
        <f>+Dietary_Sample[[#This Row],[Employee count Sample Data Cook]]/Dietary_Sample[[#This Row],[Total aide &amp; Cook]]*Dietary_Sample[[#This Row],[Diet Hrsn]]</f>
        <v>3510.5</v>
      </c>
      <c r="M3" s="13">
        <f>IF(Dietary_Sample[[#This Row],[Cook Hours]]=0,0,Dietary_Sample[[#This Row],[Cook cost estimator]]/Dietary_Sample[[#This Row],[Cook Hours]])</f>
        <v>16.824831189386771</v>
      </c>
      <c r="N3" s="12">
        <f>VLOOKUP(A3,'Estimator data 120523'!$A:$F,5,FALSE)</f>
        <v>215402.27140877867</v>
      </c>
      <c r="O3" s="12">
        <f>VLOOKUP($A3,'SAS Data'!$1:$1048576,MATCH(O$1,'SAS Data'!$3:$3,0),FALSE)</f>
        <v>14042</v>
      </c>
      <c r="P3" s="13">
        <f>+Dietary_Sample[[#This Row],[Cost Estimator]]/Dietary_Sample[[#This Row],[Diet Hrsn]]</f>
        <v>15.339856958323507</v>
      </c>
      <c r="Q3" s="10">
        <f>COUNTIFS('Dietary Detail'!$R:$R,$A3,'Dietary Detail'!$U:$U,RIGHT(Q$1,4))</f>
        <v>9</v>
      </c>
      <c r="R3" s="10">
        <f>COUNTIFS('Dietary Detail'!$R:$R,$A3,'Dietary Detail'!$U:$U,RIGHT(R$1,4))</f>
        <v>3</v>
      </c>
      <c r="S3" s="10">
        <f>+Dietary_Sample[[#This Row],[Employee count Sample Data Aide]]+Dietary_Sample[[#This Row],[Employee count Sample Data Cook]]</f>
        <v>12</v>
      </c>
      <c r="T3" s="13">
        <v>15</v>
      </c>
      <c r="U3" s="13">
        <v>18.98</v>
      </c>
      <c r="V3" s="13">
        <v>15.22</v>
      </c>
      <c r="W3" s="13">
        <v>15.853333333333333</v>
      </c>
      <c r="X3" s="13">
        <v>16.22</v>
      </c>
      <c r="Y3" s="13">
        <v>21.54</v>
      </c>
      <c r="Z3" s="13">
        <v>17.25</v>
      </c>
      <c r="AA3" s="13">
        <v>18.336666666666666</v>
      </c>
      <c r="AB3" s="13">
        <f>IF(AND(Dietary_Sample[[#This Row],[Aide median]]=0,Dietary_Sample[[#This Row],[Cook median]]=0),0,IF(Dietary_Sample[[#This Row],[Aide median]]=0,1,Dietary_Sample[[#This Row],[Cook median]]/Dietary_Sample[[#This Row],[Aide median]]))</f>
        <v>1.133377135348226</v>
      </c>
      <c r="AC3" s="13">
        <f>IF(AND(Dietary_Sample[[#This Row],[Aide average]]=0,Dietary_Sample[[#This Row],[Cook average]]=0),0,IF(Dietary_Sample[[#This Row],[Aide average]]=0,1,Dietary_Sample[[#This Row],[Cook average]]/Dietary_Sample[[#This Row],[Aide average]]))</f>
        <v>1.1566442388561815</v>
      </c>
      <c r="AD3" s="37">
        <f>COUNTIFS('Dietary Detail'!$R:$R,$A3,'Dietary Detail'!$T:$T,"&lt;"&amp;V3,'Dietary Detail'!$U:$U,RIGHT(AD$1,4))</f>
        <v>3</v>
      </c>
      <c r="AE3" s="37">
        <f>COUNTIFS('Dietary Detail'!$R:$R,$A3,'Dietary Detail'!$T:$T,"&lt;"&amp;W3,'Dietary Detail'!$U:$U,RIGHT(AE$1,4))</f>
        <v>7</v>
      </c>
      <c r="AF3" s="37">
        <f>COUNTIFS('Dietary Detail'!$R:$R,$A3,'Dietary Detail'!$T:$T,"&lt;"&amp;$BG$3,'Dietary Detail'!$U:$U,RIGHT(AF$1,4))</f>
        <v>9</v>
      </c>
      <c r="AG3" s="37">
        <f>COUNTIFS('Dietary Detail'!$R:$R,$A3,'Dietary Detail'!$T:$T,"&lt;"&amp;$BG$4,'Dietary Detail'!$U:$U,RIGHT(AG$1,4))</f>
        <v>7</v>
      </c>
      <c r="AH3" s="37">
        <f>COUNTIFS('Dietary Detail'!$R:$R,$A3,'Dietary Detail'!$T:$T,"&lt;"&amp;$BG$5,'Dietary Detail'!$U:$U,RIGHT(AH$1,4))</f>
        <v>7</v>
      </c>
      <c r="AI3" s="37">
        <f>COUNTIFS('Dietary Detail'!$R:$R,$A3,'Dietary Detail'!$T:$T,"&lt;"&amp;Z3,'Dietary Detail'!$U:$U,RIGHT(AI$1,4))</f>
        <v>1</v>
      </c>
      <c r="AJ3" s="37">
        <f>COUNTIFS('Dietary Detail'!$R:$R,$A3,'Dietary Detail'!$T:$T,"&lt;"&amp;AA3,'Dietary Detail'!$U:$U,RIGHT(AJ$1,4))</f>
        <v>2</v>
      </c>
      <c r="AK3" s="37">
        <f>COUNTIFS('Dietary Detail'!$R:$R,$A3,'Dietary Detail'!$T:$T,"&lt;"&amp;$BH$3,'Dietary Detail'!$U:$U,RIGHT(AK$1,4))</f>
        <v>3</v>
      </c>
      <c r="AL3" s="37">
        <f>COUNTIFS('Dietary Detail'!$R:$R,$A3,'Dietary Detail'!$T:$T,"&lt;"&amp;$BH$4,'Dietary Detail'!$U:$U,RIGHT(AL$1,4))</f>
        <v>2</v>
      </c>
      <c r="AM3" s="37">
        <f>COUNTIFS('Dietary Detail'!$R:$R,$A3,'Dietary Detail'!$T:$T,"&lt;"&amp;$BH$5,'Dietary Detail'!$U:$U,RIGHT(AM$1,4))</f>
        <v>2</v>
      </c>
      <c r="AN3" s="12">
        <f>+Dietary_Sample[[#This Row],[Aide median]]*Dietary_Sample[[#This Row],[Aide Hours]]</f>
        <v>160289.43</v>
      </c>
      <c r="AO3" s="12">
        <f>+Dietary_Sample[[#This Row],[Aide average]]*Dietary_Sample[[#This Row],[Aide Hours]]</f>
        <v>166959.38</v>
      </c>
      <c r="AP3" s="12">
        <f>+Dietary_Sample[[#This Row],[Cook median]]*Dietary_Sample[[#This Row],[Cook Hours]]</f>
        <v>60556.125</v>
      </c>
      <c r="AQ3" s="12">
        <f>+Dietary_Sample[[#This Row],[Cook average]]*Dietary_Sample[[#This Row],[Cook Hours]]</f>
        <v>64370.868333333332</v>
      </c>
      <c r="AR3" s="12">
        <f>+Dietary_Sample[[#This Row],[Est average Aide wage cost]]+Dietary_Sample[[#This Row],[Est average Cook wage cost]]</f>
        <v>231330.24833333335</v>
      </c>
      <c r="AS3" s="12">
        <f>+Dietary_Sample[[#This Row],[Est average Aide wage cost]]+Dietary_Sample[[#This Row],[Est average Cook wage cost]]</f>
        <v>231330.24833333335</v>
      </c>
      <c r="AT3" s="14">
        <f>IF(Dietary_Sample[[#This Row],[Aide cost estimator]]=0,0,Dietary_Sample[[#This Row],[Est median Aide wage cost ]]/Dietary_Sample[[#This Row],[Aide cost estimator]])</f>
        <v>1.0252703165831123</v>
      </c>
      <c r="AU3" s="14">
        <f>IF(Dietary_Sample[[#This Row],[Aide cost estimator]]=0,0,Dietary_Sample[[#This Row],[Est average Aide wage cost]]/Dietary_Sample[[#This Row],[Aide cost estimator]])</f>
        <v>1.0679337769753137</v>
      </c>
      <c r="AV3" s="14">
        <f>IF(Dietary_Sample[[#This Row],[Cook cost estimator]]=0,0,Dietary_Sample[[#This Row],[Est median Cook wage cost]]/Dietary_Sample[[#This Row],[Cook cost estimator]])</f>
        <v>1.0252703165831125</v>
      </c>
      <c r="AW3" s="14">
        <f>IF(Dietary_Sample[[#This Row],[Cook cost estimator]]=0,0,Dietary_Sample[[#This Row],[Est average Cook wage cost]]/Dietary_Sample[[#This Row],[Cook cost estimator]])</f>
        <v>1.0898573935311502</v>
      </c>
      <c r="AX3" s="14">
        <f>IF(Dietary_Sample[[#This Row],[Aide median]]=0,0,Dietary_Sample[[#This Row],[Aide min]]/Dietary_Sample[[#This Row],[Aide median]])</f>
        <v>0.98554533508541386</v>
      </c>
      <c r="AY3" s="14">
        <f>IF(Dietary_Sample[[#This Row],[Aide median]]=0,0,Dietary_Sample[[#This Row],[Aide max]]/Dietary_Sample[[#This Row],[Aide median]])</f>
        <v>1.2470433639947438</v>
      </c>
      <c r="AZ3" s="14">
        <f>IF(Dietary_Sample[[#This Row],[Cook median]]=0,0,Dietary_Sample[[#This Row],[Cook min]]/Dietary_Sample[[#This Row],[Cook median]])</f>
        <v>0.94028985507246365</v>
      </c>
      <c r="BA3" s="14">
        <f>IF(Dietary_Sample[[#This Row],[Cook median]]=0,0,Dietary_Sample[[#This Row],[Cook max]]/Dietary_Sample[[#This Row],[Cook median]])</f>
        <v>1.248695652173913</v>
      </c>
      <c r="BB3" s="12">
        <f>VLOOKUP(A3,Summary!$1:$1048576,2,FALSE)</f>
        <v>1</v>
      </c>
      <c r="BE3" s="5"/>
      <c r="BF3" s="5" t="s">
        <v>78</v>
      </c>
      <c r="BG3" s="6">
        <f>+Summary!$M$2</f>
        <v>25</v>
      </c>
      <c r="BH3" s="6">
        <f>+Summary!$I$2</f>
        <v>25</v>
      </c>
    </row>
    <row r="4" spans="1:65" x14ac:dyDescent="0.55000000000000004">
      <c r="A4" s="10">
        <v>145</v>
      </c>
      <c r="B4" s="10" t="s">
        <v>54</v>
      </c>
      <c r="C4" s="10">
        <f>VLOOKUP($A4,'SAS Data'!$1:$1048576,MATCH(C$1,'SAS Data'!$3:$3,0),FALSE)</f>
        <v>17</v>
      </c>
      <c r="D4" s="10">
        <f>VLOOKUP($A4,'SAS Data'!$1:$1048576,MATCH(D$1,'SAS Data'!$3:$3,0),FALSE)</f>
        <v>6</v>
      </c>
      <c r="E4" s="10">
        <f t="shared" si="1"/>
        <v>23</v>
      </c>
      <c r="F4" s="11">
        <f>VLOOKUP($A4,'SAS Data'!$1:$1048576,MATCH(F$1,'SAS Data'!$3:$3,0),FALSE)</f>
        <v>20.668765657796737</v>
      </c>
      <c r="G4" s="12">
        <f>+Dietary_Sample[[#This Row],[Diet Cph]]*Dietary_Sample[[#This Row],[Diet Hrsn]]</f>
        <v>610514</v>
      </c>
      <c r="H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494723.61591297761</v>
      </c>
      <c r="I4" s="17">
        <f>+Dietary_Sample[[#This Row],[Employee count Sample Data Aide]]/Dietary_Sample[[#This Row],[Total aide &amp; Cook]]*Dietary_Sample[[#This Row],[Diet Hrsn]]</f>
        <v>24874.105263157893</v>
      </c>
      <c r="J4" s="13">
        <f>IF(Dietary_Sample[[#This Row],[Aide Hours]]=0,0,Dietary_Sample[[#This Row],[Aide cost estimator]]/Dietary_Sample[[#This Row],[Aide Hours]])</f>
        <v>19.889101966844773</v>
      </c>
      <c r="K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115790.38408702236</v>
      </c>
      <c r="L4" s="17">
        <f>+Dietary_Sample[[#This Row],[Employee count Sample Data Cook]]/Dietary_Sample[[#This Row],[Total aide &amp; Cook]]*Dietary_Sample[[#This Row],[Diet Hrsn]]</f>
        <v>4663.894736842105</v>
      </c>
      <c r="M4" s="13">
        <f>IF(Dietary_Sample[[#This Row],[Cook Hours]]=0,0,Dietary_Sample[[#This Row],[Cook cost estimator]]/Dietary_Sample[[#This Row],[Cook Hours]])</f>
        <v>24.826972009540537</v>
      </c>
      <c r="N4" s="12">
        <f>VLOOKUP(A4,'Estimator data 120523'!$A:$F,5,FALSE)</f>
        <v>610514</v>
      </c>
      <c r="O4" s="12">
        <f>VLOOKUP($A4,'SAS Data'!$1:$1048576,MATCH(O$1,'SAS Data'!$3:$3,0),FALSE)</f>
        <v>29538</v>
      </c>
      <c r="P4" s="13">
        <f>+Dietary_Sample[[#This Row],[Cost Estimator]]/Dietary_Sample[[#This Row],[Diet Hrsn]]</f>
        <v>20.668765657796737</v>
      </c>
      <c r="Q4" s="10">
        <f>COUNTIFS('Dietary Detail'!$R:$R,$A4,'Dietary Detail'!$U:$U,RIGHT(Q$1,4))</f>
        <v>16</v>
      </c>
      <c r="R4" s="10">
        <f>COUNTIFS('Dietary Detail'!$R:$R,$A4,'Dietary Detail'!$U:$U,RIGHT(R$1,4))</f>
        <v>3</v>
      </c>
      <c r="S4" s="10">
        <f>+Dietary_Sample[[#This Row],[Employee count Sample Data Aide]]+Dietary_Sample[[#This Row],[Employee count Sample Data Cook]]</f>
        <v>19</v>
      </c>
      <c r="T4" s="13">
        <v>17</v>
      </c>
      <c r="U4" s="13">
        <v>22</v>
      </c>
      <c r="V4" s="13">
        <v>18.064999999999998</v>
      </c>
      <c r="W4" s="13">
        <v>18.55125</v>
      </c>
      <c r="X4" s="13">
        <v>20.8</v>
      </c>
      <c r="Y4" s="13">
        <v>24.4</v>
      </c>
      <c r="Z4" s="13">
        <v>22.55</v>
      </c>
      <c r="AA4" s="13">
        <v>22.583333333333332</v>
      </c>
      <c r="AB4" s="13">
        <f>IF(AND(Dietary_Sample[[#This Row],[Aide median]]=0,Dietary_Sample[[#This Row],[Cook median]]=0),0,IF(Dietary_Sample[[#This Row],[Aide median]]=0,1,Dietary_Sample[[#This Row],[Cook median]]/Dietary_Sample[[#This Row],[Aide median]]))</f>
        <v>1.2482701356213675</v>
      </c>
      <c r="AC4" s="13">
        <f>IF(AND(Dietary_Sample[[#This Row],[Aide average]]=0,Dietary_Sample[[#This Row],[Cook average]]=0),0,IF(Dietary_Sample[[#This Row],[Aide average]]=0,1,Dietary_Sample[[#This Row],[Cook average]]/Dietary_Sample[[#This Row],[Aide average]]))</f>
        <v>1.21734833681468</v>
      </c>
      <c r="AD4" s="37">
        <f>COUNTIFS('Dietary Detail'!$R:$R,$A4,'Dietary Detail'!$T:$T,"&lt;"&amp;V4,'Dietary Detail'!$U:$U,RIGHT(AD$1,4))</f>
        <v>8</v>
      </c>
      <c r="AE4" s="37">
        <f>COUNTIFS('Dietary Detail'!$R:$R,$A4,'Dietary Detail'!$T:$T,"&lt;"&amp;W4,'Dietary Detail'!$U:$U,RIGHT(AE$1,4))</f>
        <v>11</v>
      </c>
      <c r="AF4" s="37">
        <f>COUNTIFS('Dietary Detail'!$R:$R,$A4,'Dietary Detail'!$T:$T,"&lt;"&amp;$BG$3,'Dietary Detail'!$U:$U,RIGHT(AF$1,4))</f>
        <v>16</v>
      </c>
      <c r="AG4" s="37">
        <f>COUNTIFS('Dietary Detail'!$R:$R,$A4,'Dietary Detail'!$T:$T,"&lt;"&amp;$BG$4,'Dietary Detail'!$U:$U,RIGHT(AG$1,4))</f>
        <v>0</v>
      </c>
      <c r="AH4" s="37">
        <f>COUNTIFS('Dietary Detail'!$R:$R,$A4,'Dietary Detail'!$T:$T,"&lt;"&amp;$BG$5,'Dietary Detail'!$U:$U,RIGHT(AH$1,4))</f>
        <v>0</v>
      </c>
      <c r="AI4" s="37">
        <f>COUNTIFS('Dietary Detail'!$R:$R,$A4,'Dietary Detail'!$T:$T,"&lt;"&amp;Z4,'Dietary Detail'!$U:$U,RIGHT(AI$1,4))</f>
        <v>1</v>
      </c>
      <c r="AJ4" s="37">
        <f>COUNTIFS('Dietary Detail'!$R:$R,$A4,'Dietary Detail'!$T:$T,"&lt;"&amp;AA4,'Dietary Detail'!$U:$U,RIGHT(AJ$1,4))</f>
        <v>2</v>
      </c>
      <c r="AK4" s="37">
        <f>COUNTIFS('Dietary Detail'!$R:$R,$A4,'Dietary Detail'!$T:$T,"&lt;"&amp;$BH$3,'Dietary Detail'!$U:$U,RIGHT(AK$1,4))</f>
        <v>3</v>
      </c>
      <c r="AL4" s="37">
        <f>COUNTIFS('Dietary Detail'!$R:$R,$A4,'Dietary Detail'!$T:$T,"&lt;"&amp;$BH$4,'Dietary Detail'!$U:$U,RIGHT(AL$1,4))</f>
        <v>0</v>
      </c>
      <c r="AM4" s="37">
        <f>COUNTIFS('Dietary Detail'!$R:$R,$A4,'Dietary Detail'!$T:$T,"&lt;"&amp;$BH$5,'Dietary Detail'!$U:$U,RIGHT(AM$1,4))</f>
        <v>0</v>
      </c>
      <c r="AN4" s="12">
        <f>+Dietary_Sample[[#This Row],[Aide median]]*Dietary_Sample[[#This Row],[Aide Hours]]</f>
        <v>449350.71157894726</v>
      </c>
      <c r="AO4" s="12">
        <f>+Dietary_Sample[[#This Row],[Aide average]]*Dietary_Sample[[#This Row],[Aide Hours]]</f>
        <v>461445.74526315788</v>
      </c>
      <c r="AP4" s="12">
        <f>+Dietary_Sample[[#This Row],[Cook median]]*Dietary_Sample[[#This Row],[Cook Hours]]</f>
        <v>105170.82631578947</v>
      </c>
      <c r="AQ4" s="12">
        <f>+Dietary_Sample[[#This Row],[Cook average]]*Dietary_Sample[[#This Row],[Cook Hours]]</f>
        <v>105326.2894736842</v>
      </c>
      <c r="AR4" s="12">
        <f>+Dietary_Sample[[#This Row],[Est average Aide wage cost]]+Dietary_Sample[[#This Row],[Est average Cook wage cost]]</f>
        <v>566772.03473684203</v>
      </c>
      <c r="AS4" s="12">
        <f>+Dietary_Sample[[#This Row],[Est average Aide wage cost]]+Dietary_Sample[[#This Row],[Est average Cook wage cost]]</f>
        <v>566772.03473684203</v>
      </c>
      <c r="AT4" s="14">
        <f>IF(Dietary_Sample[[#This Row],[Aide cost estimator]]=0,0,Dietary_Sample[[#This Row],[Est median Aide wage cost ]]/Dietary_Sample[[#This Row],[Aide cost estimator]])</f>
        <v>0.90828635853516337</v>
      </c>
      <c r="AU4" s="14">
        <f>IF(Dietary_Sample[[#This Row],[Aide cost estimator]]=0,0,Dietary_Sample[[#This Row],[Est average Aide wage cost]]/Dietary_Sample[[#This Row],[Aide cost estimator]])</f>
        <v>0.93273442063523138</v>
      </c>
      <c r="AV4" s="14">
        <f>IF(Dietary_Sample[[#This Row],[Cook cost estimator]]=0,0,Dietary_Sample[[#This Row],[Est median Cook wage cost]]/Dietary_Sample[[#This Row],[Cook cost estimator]])</f>
        <v>0.90828635853516337</v>
      </c>
      <c r="AW4" s="14">
        <f>IF(Dietary_Sample[[#This Row],[Cook cost estimator]]=0,0,Dietary_Sample[[#This Row],[Est average Cook wage cost]]/Dietary_Sample[[#This Row],[Cook cost estimator]])</f>
        <v>0.90962898434231065</v>
      </c>
      <c r="AX4" s="14">
        <f>IF(Dietary_Sample[[#This Row],[Aide median]]=0,0,Dietary_Sample[[#This Row],[Aide min]]/Dietary_Sample[[#This Row],[Aide median]])</f>
        <v>0.94104622197619714</v>
      </c>
      <c r="AY4" s="14">
        <f>IF(Dietary_Sample[[#This Row],[Aide median]]=0,0,Dietary_Sample[[#This Row],[Aide max]]/Dietary_Sample[[#This Row],[Aide median]])</f>
        <v>1.2178245225574316</v>
      </c>
      <c r="AZ4" s="14">
        <f>IF(Dietary_Sample[[#This Row],[Cook median]]=0,0,Dietary_Sample[[#This Row],[Cook min]]/Dietary_Sample[[#This Row],[Cook median]])</f>
        <v>0.92239467849223944</v>
      </c>
      <c r="BA4" s="14">
        <f>IF(Dietary_Sample[[#This Row],[Cook median]]=0,0,Dietary_Sample[[#This Row],[Cook max]]/Dietary_Sample[[#This Row],[Cook median]])</f>
        <v>1.082039911308204</v>
      </c>
      <c r="BB4" s="12">
        <f>VLOOKUP(A4,Summary!$1:$1048576,2,FALSE)</f>
        <v>3</v>
      </c>
      <c r="BF4" s="15" t="s">
        <v>79</v>
      </c>
      <c r="BG4" s="11">
        <f>+Dietary_Sample[[#Totals],[Est median Aide wage cost ]]/Dietary_Sample[[#Totals],[Aide Hours]]</f>
        <v>16.195419764788873</v>
      </c>
      <c r="BH4" s="11">
        <f>Dietary_Sample[[#Totals],[Est median Cook wage cost]]/Dietary_Sample[[#Totals],[Cook Hours]]</f>
        <v>19.712704295504448</v>
      </c>
      <c r="BI4" s="10" t="s">
        <v>80</v>
      </c>
    </row>
    <row r="5" spans="1:65" x14ac:dyDescent="0.55000000000000004">
      <c r="A5" s="10">
        <v>156</v>
      </c>
      <c r="B5" s="10" t="s">
        <v>54</v>
      </c>
      <c r="C5" s="10">
        <f>VLOOKUP($A5,'SAS Data'!$1:$1048576,MATCH(C$1,'SAS Data'!$3:$3,0),FALSE)</f>
        <v>0</v>
      </c>
      <c r="D5" s="10">
        <f>VLOOKUP($A5,'SAS Data'!$1:$1048576,MATCH(D$1,'SAS Data'!$3:$3,0),FALSE)</f>
        <v>0</v>
      </c>
      <c r="E5" s="10">
        <f t="shared" si="1"/>
        <v>0</v>
      </c>
      <c r="F5" s="11">
        <f>VLOOKUP($A5,'SAS Data'!$1:$1048576,MATCH(F$1,'SAS Data'!$3:$3,0),FALSE)</f>
        <v>0</v>
      </c>
      <c r="G5" s="12">
        <f>+Dietary_Sample[[#This Row],[Diet Cph]]*Dietary_Sample[[#This Row],[Diet Hrsn]]</f>
        <v>0</v>
      </c>
      <c r="H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110542.46649575408</v>
      </c>
      <c r="I5" s="17">
        <f>+Dietary_Sample[[#This Row],[Employee count Sample Data Aide]]/Dietary_Sample[[#This Row],[Total aide &amp; Cook]]*Dietary_Sample[[#This Row],[Diet Hrsn]]</f>
        <v>4117.5</v>
      </c>
      <c r="J5" s="13">
        <f>IF(Dietary_Sample[[#This Row],[Aide Hours]]=0,0,Dietary_Sample[[#This Row],[Aide cost estimator]]/Dietary_Sample[[#This Row],[Aide Hours]])</f>
        <v>26.846986398483079</v>
      </c>
      <c r="K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125301.54240390651</v>
      </c>
      <c r="L5" s="17">
        <f>+Dietary_Sample[[#This Row],[Employee count Sample Data Cook]]/Dietary_Sample[[#This Row],[Total aide &amp; Cook]]*Dietary_Sample[[#This Row],[Diet Hrsn]]</f>
        <v>4117.5</v>
      </c>
      <c r="M5" s="13">
        <f>IF(Dietary_Sample[[#This Row],[Cook Hours]]=0,0,Dietary_Sample[[#This Row],[Cook cost estimator]]/Dietary_Sample[[#This Row],[Cook Hours]])</f>
        <v>30.431461421713784</v>
      </c>
      <c r="N5" s="12">
        <f>VLOOKUP(A5,'Estimator data 120523'!$A:$F,5,FALSE)</f>
        <v>235844.00889966058</v>
      </c>
      <c r="O5" s="12">
        <f>VLOOKUP($A5,'SAS Data'!$1:$1048576,MATCH(O$1,'SAS Data'!$3:$3,0),FALSE)</f>
        <v>8235</v>
      </c>
      <c r="P5" s="13">
        <f>+Dietary_Sample[[#This Row],[Cost Estimator]]/Dietary_Sample[[#This Row],[Diet Hrsn]]</f>
        <v>28.63922391009843</v>
      </c>
      <c r="Q5" s="10">
        <f>COUNTIFS('Dietary Detail'!$R:$R,$A5,'Dietary Detail'!$U:$U,RIGHT(Q$1,4))</f>
        <v>6</v>
      </c>
      <c r="R5" s="10">
        <f>COUNTIFS('Dietary Detail'!$R:$R,$A5,'Dietary Detail'!$U:$U,RIGHT(R$1,4))</f>
        <v>6</v>
      </c>
      <c r="S5" s="10">
        <f>+Dietary_Sample[[#This Row],[Employee count Sample Data Aide]]+Dietary_Sample[[#This Row],[Employee count Sample Data Cook]]</f>
        <v>12</v>
      </c>
      <c r="T5" s="13">
        <v>15.84</v>
      </c>
      <c r="U5" s="13">
        <v>26.56</v>
      </c>
      <c r="V5" s="13">
        <v>18.350000000000001</v>
      </c>
      <c r="W5" s="13">
        <v>19.696666666666669</v>
      </c>
      <c r="X5" s="13">
        <v>15.96</v>
      </c>
      <c r="Y5" s="13">
        <v>23.59</v>
      </c>
      <c r="Z5" s="13">
        <v>20.8</v>
      </c>
      <c r="AA5" s="13">
        <v>19.619999999999997</v>
      </c>
      <c r="AB5" s="13">
        <f>IF(AND(Dietary_Sample[[#This Row],[Aide median]]=0,Dietary_Sample[[#This Row],[Cook median]]=0),0,IF(Dietary_Sample[[#This Row],[Aide median]]=0,1,Dietary_Sample[[#This Row],[Cook median]]/Dietary_Sample[[#This Row],[Aide median]]))</f>
        <v>1.1335149863760217</v>
      </c>
      <c r="AC5" s="13">
        <f>IF(AND(Dietary_Sample[[#This Row],[Aide average]]=0,Dietary_Sample[[#This Row],[Cook average]]=0),0,IF(Dietary_Sample[[#This Row],[Aide average]]=0,1,Dietary_Sample[[#This Row],[Cook average]]/Dietary_Sample[[#This Row],[Aide average]]))</f>
        <v>0.99610763242511402</v>
      </c>
      <c r="AD5" s="37">
        <f>COUNTIFS('Dietary Detail'!$R:$R,$A5,'Dietary Detail'!$T:$T,"&lt;"&amp;V5,'Dietary Detail'!$U:$U,RIGHT(AD$1,4))</f>
        <v>3</v>
      </c>
      <c r="AE5" s="37">
        <f>COUNTIFS('Dietary Detail'!$R:$R,$A5,'Dietary Detail'!$T:$T,"&lt;"&amp;W5,'Dietary Detail'!$U:$U,RIGHT(AE$1,4))</f>
        <v>3</v>
      </c>
      <c r="AF5" s="37">
        <f>COUNTIFS('Dietary Detail'!$R:$R,$A5,'Dietary Detail'!$T:$T,"&lt;"&amp;$BG$3,'Dietary Detail'!$U:$U,RIGHT(AF$1,4))</f>
        <v>5</v>
      </c>
      <c r="AG5" s="37">
        <f>COUNTIFS('Dietary Detail'!$R:$R,$A5,'Dietary Detail'!$T:$T,"&lt;"&amp;$BG$4,'Dietary Detail'!$U:$U,RIGHT(AG$1,4))</f>
        <v>1</v>
      </c>
      <c r="AH5" s="37">
        <f>COUNTIFS('Dietary Detail'!$R:$R,$A5,'Dietary Detail'!$T:$T,"&lt;"&amp;$BG$5,'Dietary Detail'!$U:$U,RIGHT(AH$1,4))</f>
        <v>3</v>
      </c>
      <c r="AI5" s="37">
        <f>COUNTIFS('Dietary Detail'!$R:$R,$A5,'Dietary Detail'!$T:$T,"&lt;"&amp;Z5,'Dietary Detail'!$U:$U,RIGHT(AI$1,4))</f>
        <v>3</v>
      </c>
      <c r="AJ5" s="37">
        <f>COUNTIFS('Dietary Detail'!$R:$R,$A5,'Dietary Detail'!$T:$T,"&lt;"&amp;AA5,'Dietary Detail'!$U:$U,RIGHT(AJ$1,4))</f>
        <v>3</v>
      </c>
      <c r="AK5" s="37">
        <f>COUNTIFS('Dietary Detail'!$R:$R,$A5,'Dietary Detail'!$T:$T,"&lt;"&amp;$BH$3,'Dietary Detail'!$U:$U,RIGHT(AK$1,4))</f>
        <v>6</v>
      </c>
      <c r="AL5" s="37">
        <f>COUNTIFS('Dietary Detail'!$R:$R,$A5,'Dietary Detail'!$T:$T,"&lt;"&amp;$BH$4,'Dietary Detail'!$U:$U,RIGHT(AL$1,4))</f>
        <v>3</v>
      </c>
      <c r="AM5" s="37">
        <f>COUNTIFS('Dietary Detail'!$R:$R,$A5,'Dietary Detail'!$T:$T,"&lt;"&amp;$BH$5,'Dietary Detail'!$U:$U,RIGHT(AM$1,4))</f>
        <v>3</v>
      </c>
      <c r="AN5" s="12">
        <f>+Dietary_Sample[[#This Row],[Aide median]]*Dietary_Sample[[#This Row],[Aide Hours]]</f>
        <v>75556.125</v>
      </c>
      <c r="AO5" s="12">
        <f>+Dietary_Sample[[#This Row],[Aide average]]*Dietary_Sample[[#This Row],[Aide Hours]]</f>
        <v>81101.025000000009</v>
      </c>
      <c r="AP5" s="12">
        <f>+Dietary_Sample[[#This Row],[Cook median]]*Dietary_Sample[[#This Row],[Cook Hours]]</f>
        <v>85644</v>
      </c>
      <c r="AQ5" s="12">
        <f>+Dietary_Sample[[#This Row],[Cook average]]*Dietary_Sample[[#This Row],[Cook Hours]]</f>
        <v>80785.349999999991</v>
      </c>
      <c r="AR5" s="12">
        <f>+Dietary_Sample[[#This Row],[Est average Aide wage cost]]+Dietary_Sample[[#This Row],[Est average Cook wage cost]]</f>
        <v>161886.375</v>
      </c>
      <c r="AS5" s="12">
        <f>+Dietary_Sample[[#This Row],[Est average Aide wage cost]]+Dietary_Sample[[#This Row],[Est average Cook wage cost]]</f>
        <v>161886.375</v>
      </c>
      <c r="AT5" s="14">
        <f>IF(Dietary_Sample[[#This Row],[Aide cost estimator]]=0,0,Dietary_Sample[[#This Row],[Est median Aide wage cost ]]/Dietary_Sample[[#This Row],[Aide cost estimator]])</f>
        <v>0.68350315851602694</v>
      </c>
      <c r="AU5" s="14">
        <f>IF(Dietary_Sample[[#This Row],[Aide cost estimator]]=0,0,Dietary_Sample[[#This Row],[Est average Aide wage cost]]/Dietary_Sample[[#This Row],[Aide cost estimator]])</f>
        <v>0.73366397160239849</v>
      </c>
      <c r="AV5" s="14">
        <f>IF(Dietary_Sample[[#This Row],[Cook cost estimator]]=0,0,Dietary_Sample[[#This Row],[Est median Cook wage cost]]/Dietary_Sample[[#This Row],[Cook cost estimator]])</f>
        <v>0.68350315851602705</v>
      </c>
      <c r="AW5" s="14">
        <f>IF(Dietary_Sample[[#This Row],[Cook cost estimator]]=0,0,Dietary_Sample[[#This Row],[Est average Cook wage cost]]/Dietary_Sample[[#This Row],[Cook cost estimator]])</f>
        <v>0.64472749856175238</v>
      </c>
      <c r="AX5" s="14">
        <f>IF(Dietary_Sample[[#This Row],[Aide median]]=0,0,Dietary_Sample[[#This Row],[Aide min]]/Dietary_Sample[[#This Row],[Aide median]])</f>
        <v>0.86321525885558581</v>
      </c>
      <c r="AY5" s="14">
        <f>IF(Dietary_Sample[[#This Row],[Aide median]]=0,0,Dietary_Sample[[#This Row],[Aide max]]/Dietary_Sample[[#This Row],[Aide median]])</f>
        <v>1.4474114441416892</v>
      </c>
      <c r="AZ5" s="14">
        <f>IF(Dietary_Sample[[#This Row],[Cook median]]=0,0,Dietary_Sample[[#This Row],[Cook min]]/Dietary_Sample[[#This Row],[Cook median]])</f>
        <v>0.76730769230769236</v>
      </c>
      <c r="BA5" s="14">
        <f>IF(Dietary_Sample[[#This Row],[Cook median]]=0,0,Dietary_Sample[[#This Row],[Cook max]]/Dietary_Sample[[#This Row],[Cook median]])</f>
        <v>1.1341346153846152</v>
      </c>
      <c r="BB5" s="12">
        <f>VLOOKUP(A5,Summary!$1:$1048576,2,FALSE)</f>
        <v>2</v>
      </c>
      <c r="BF5" s="15" t="s">
        <v>81</v>
      </c>
      <c r="BG5" s="11">
        <f>+Dietary_Sample[[#Totals],[Est average Aide wage cost]]/Dietary_Sample[[#Totals],[Aide Hours]]</f>
        <v>16.578319673954386</v>
      </c>
      <c r="BH5" s="11">
        <f>+Dietary_Sample[[#Totals],[Est average Cook wage cost]]/Dietary_Sample[[#Totals],[Cook Hours]]</f>
        <v>19.713524449110007</v>
      </c>
      <c r="BI5" s="10" t="s">
        <v>80</v>
      </c>
    </row>
    <row r="6" spans="1:65" x14ac:dyDescent="0.55000000000000004">
      <c r="A6" s="10">
        <v>164</v>
      </c>
      <c r="B6" s="10" t="s">
        <v>54</v>
      </c>
      <c r="C6" s="10">
        <f>VLOOKUP($A6,'SAS Data'!$1:$1048576,MATCH(C$1,'SAS Data'!$3:$3,0),FALSE)</f>
        <v>5</v>
      </c>
      <c r="D6" s="10">
        <f>VLOOKUP($A6,'SAS Data'!$1:$1048576,MATCH(D$1,'SAS Data'!$3:$3,0),FALSE)</f>
        <v>11</v>
      </c>
      <c r="E6" s="10">
        <f t="shared" si="1"/>
        <v>16</v>
      </c>
      <c r="F6" s="11">
        <f>VLOOKUP($A6,'SAS Data'!$1:$1048576,MATCH(F$1,'SAS Data'!$3:$3,0),FALSE)</f>
        <v>0</v>
      </c>
      <c r="G6" s="12">
        <f>+Dietary_Sample[[#This Row],[Diet Cph]]*Dietary_Sample[[#This Row],[Diet Hrsn]]</f>
        <v>0</v>
      </c>
      <c r="H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115854.53906086361</v>
      </c>
      <c r="I6" s="17">
        <f>+Dietary_Sample[[#This Row],[Employee count Sample Data Aide]]/Dietary_Sample[[#This Row],[Total aide &amp; Cook]]*Dietary_Sample[[#This Row],[Diet Hrsn]]</f>
        <v>6524.4666666666672</v>
      </c>
      <c r="J6" s="13">
        <f>IF(Dietary_Sample[[#This Row],[Aide Hours]]=0,0,Dietary_Sample[[#This Row],[Aide cost estimator]]/Dietary_Sample[[#This Row],[Aide Hours]])</f>
        <v>17.756936310635393</v>
      </c>
      <c r="K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165654.92068151673</v>
      </c>
      <c r="L6" s="17">
        <f>+Dietary_Sample[[#This Row],[Employee count Sample Data Cook]]/Dietary_Sample[[#This Row],[Total aide &amp; Cook]]*Dietary_Sample[[#This Row],[Diet Hrsn]]</f>
        <v>7456.5333333333328</v>
      </c>
      <c r="M6" s="13">
        <f>IF(Dietary_Sample[[#This Row],[Cook Hours]]=0,0,Dietary_Sample[[#This Row],[Cook cost estimator]]/Dietary_Sample[[#This Row],[Cook Hours]])</f>
        <v>22.216077267566259</v>
      </c>
      <c r="N6" s="12">
        <f>VLOOKUP(A6,'Estimator data 120523'!$A:$F,5,FALSE)</f>
        <v>281509.45974238031</v>
      </c>
      <c r="O6" s="12">
        <f>VLOOKUP($A6,'SAS Data'!$1:$1048576,MATCH(O$1,'SAS Data'!$3:$3,0),FALSE)</f>
        <v>13981</v>
      </c>
      <c r="P6" s="13">
        <f>+Dietary_Sample[[#This Row],[Cost Estimator]]/Dietary_Sample[[#This Row],[Diet Hrsn]]</f>
        <v>20.135144820998519</v>
      </c>
      <c r="Q6" s="10">
        <f>COUNTIFS('Dietary Detail'!$R:$R,$A6,'Dietary Detail'!$U:$U,RIGHT(Q$1,4))</f>
        <v>7</v>
      </c>
      <c r="R6" s="10">
        <f>COUNTIFS('Dietary Detail'!$R:$R,$A6,'Dietary Detail'!$U:$U,RIGHT(R$1,4))</f>
        <v>8</v>
      </c>
      <c r="S6" s="10">
        <f>+Dietary_Sample[[#This Row],[Employee count Sample Data Aide]]+Dietary_Sample[[#This Row],[Employee count Sample Data Cook]]</f>
        <v>15</v>
      </c>
      <c r="T6" s="13">
        <v>15</v>
      </c>
      <c r="U6" s="13">
        <v>20.59</v>
      </c>
      <c r="V6" s="13">
        <v>15.61</v>
      </c>
      <c r="W6" s="13">
        <v>16.234285714285715</v>
      </c>
      <c r="X6" s="13">
        <v>17.690000000000001</v>
      </c>
      <c r="Y6" s="13">
        <v>23.34</v>
      </c>
      <c r="Z6" s="13">
        <v>19.53</v>
      </c>
      <c r="AA6" s="13">
        <v>19.98</v>
      </c>
      <c r="AB6" s="13">
        <f>IF(AND(Dietary_Sample[[#This Row],[Aide median]]=0,Dietary_Sample[[#This Row],[Cook median]]=0),0,IF(Dietary_Sample[[#This Row],[Aide median]]=0,1,Dietary_Sample[[#This Row],[Cook median]]/Dietary_Sample[[#This Row],[Aide median]]))</f>
        <v>1.2511210762331839</v>
      </c>
      <c r="AC6" s="13">
        <f>IF(AND(Dietary_Sample[[#This Row],[Aide average]]=0,Dietary_Sample[[#This Row],[Cook average]]=0),0,IF(Dietary_Sample[[#This Row],[Aide average]]=0,1,Dietary_Sample[[#This Row],[Cook average]]/Dietary_Sample[[#This Row],[Aide average]]))</f>
        <v>1.2307286166842661</v>
      </c>
      <c r="AD6" s="37">
        <f>COUNTIFS('Dietary Detail'!$R:$R,$A6,'Dietary Detail'!$T:$T,"&lt;"&amp;V6,'Dietary Detail'!$U:$U,RIGHT(AD$1,4))</f>
        <v>2</v>
      </c>
      <c r="AE6" s="37">
        <f>COUNTIFS('Dietary Detail'!$R:$R,$A6,'Dietary Detail'!$T:$T,"&lt;"&amp;W6,'Dietary Detail'!$U:$U,RIGHT(AE$1,4))</f>
        <v>6</v>
      </c>
      <c r="AF6" s="37">
        <f>COUNTIFS('Dietary Detail'!$R:$R,$A6,'Dietary Detail'!$T:$T,"&lt;"&amp;$BG$3,'Dietary Detail'!$U:$U,RIGHT(AF$1,4))</f>
        <v>7</v>
      </c>
      <c r="AG6" s="37">
        <f>COUNTIFS('Dietary Detail'!$R:$R,$A6,'Dietary Detail'!$T:$T,"&lt;"&amp;$BG$4,'Dietary Detail'!$U:$U,RIGHT(AG$1,4))</f>
        <v>6</v>
      </c>
      <c r="AH6" s="37">
        <f>COUNTIFS('Dietary Detail'!$R:$R,$A6,'Dietary Detail'!$T:$T,"&lt;"&amp;$BG$5,'Dietary Detail'!$U:$U,RIGHT(AH$1,4))</f>
        <v>6</v>
      </c>
      <c r="AI6" s="37">
        <f>COUNTIFS('Dietary Detail'!$R:$R,$A6,'Dietary Detail'!$T:$T,"&lt;"&amp;Z6,'Dietary Detail'!$U:$U,RIGHT(AI$1,4))</f>
        <v>4</v>
      </c>
      <c r="AJ6" s="37">
        <f>COUNTIFS('Dietary Detail'!$R:$R,$A6,'Dietary Detail'!$T:$T,"&lt;"&amp;AA6,'Dietary Detail'!$U:$U,RIGHT(AJ$1,4))</f>
        <v>5</v>
      </c>
      <c r="AK6" s="37">
        <f>COUNTIFS('Dietary Detail'!$R:$R,$A6,'Dietary Detail'!$T:$T,"&lt;"&amp;$BH$3,'Dietary Detail'!$U:$U,RIGHT(AK$1,4))</f>
        <v>8</v>
      </c>
      <c r="AL6" s="37">
        <f>COUNTIFS('Dietary Detail'!$R:$R,$A6,'Dietary Detail'!$T:$T,"&lt;"&amp;$BH$4,'Dietary Detail'!$U:$U,RIGHT(AL$1,4))</f>
        <v>4</v>
      </c>
      <c r="AM6" s="37">
        <f>COUNTIFS('Dietary Detail'!$R:$R,$A6,'Dietary Detail'!$T:$T,"&lt;"&amp;$BH$5,'Dietary Detail'!$U:$U,RIGHT(AM$1,4))</f>
        <v>4</v>
      </c>
      <c r="AN6" s="12">
        <f>+Dietary_Sample[[#This Row],[Aide median]]*Dietary_Sample[[#This Row],[Aide Hours]]</f>
        <v>101846.92466666667</v>
      </c>
      <c r="AO6" s="12">
        <f>+Dietary_Sample[[#This Row],[Aide average]]*Dietary_Sample[[#This Row],[Aide Hours]]</f>
        <v>105920.05600000001</v>
      </c>
      <c r="AP6" s="12">
        <f>+Dietary_Sample[[#This Row],[Cook median]]*Dietary_Sample[[#This Row],[Cook Hours]]</f>
        <v>145626.09599999999</v>
      </c>
      <c r="AQ6" s="12">
        <f>+Dietary_Sample[[#This Row],[Cook average]]*Dietary_Sample[[#This Row],[Cook Hours]]</f>
        <v>148981.53599999999</v>
      </c>
      <c r="AR6" s="12">
        <f>+Dietary_Sample[[#This Row],[Est average Aide wage cost]]+Dietary_Sample[[#This Row],[Est average Cook wage cost]]</f>
        <v>254901.592</v>
      </c>
      <c r="AS6" s="12">
        <f>+Dietary_Sample[[#This Row],[Est average Aide wage cost]]+Dietary_Sample[[#This Row],[Est average Cook wage cost]]</f>
        <v>254901.592</v>
      </c>
      <c r="AT6" s="14">
        <f>IF(Dietary_Sample[[#This Row],[Aide cost estimator]]=0,0,Dietary_Sample[[#This Row],[Est median Aide wage cost ]]/Dietary_Sample[[#This Row],[Aide cost estimator]])</f>
        <v>0.87909308942277953</v>
      </c>
      <c r="AU6" s="14">
        <f>IF(Dietary_Sample[[#This Row],[Aide cost estimator]]=0,0,Dietary_Sample[[#This Row],[Est average Aide wage cost]]/Dietary_Sample[[#This Row],[Aide cost estimator]])</f>
        <v>0.91425037688299315</v>
      </c>
      <c r="AV6" s="14">
        <f>IF(Dietary_Sample[[#This Row],[Cook cost estimator]]=0,0,Dietary_Sample[[#This Row],[Est median Cook wage cost]]/Dietary_Sample[[#This Row],[Cook cost estimator]])</f>
        <v>0.87909308942277931</v>
      </c>
      <c r="AW6" s="14">
        <f>IF(Dietary_Sample[[#This Row],[Cook cost estimator]]=0,0,Dietary_Sample[[#This Row],[Est average Cook wage cost]]/Dietary_Sample[[#This Row],[Cook cost estimator]])</f>
        <v>0.89934869056155298</v>
      </c>
      <c r="AX6" s="14">
        <f>IF(Dietary_Sample[[#This Row],[Aide median]]=0,0,Dietary_Sample[[#This Row],[Aide min]]/Dietary_Sample[[#This Row],[Aide median]])</f>
        <v>0.96092248558616278</v>
      </c>
      <c r="AY6" s="14">
        <f>IF(Dietary_Sample[[#This Row],[Aide median]]=0,0,Dietary_Sample[[#This Row],[Aide max]]/Dietary_Sample[[#This Row],[Aide median]])</f>
        <v>1.3190262652146061</v>
      </c>
      <c r="AZ6" s="14">
        <f>IF(Dietary_Sample[[#This Row],[Cook median]]=0,0,Dietary_Sample[[#This Row],[Cook min]]/Dietary_Sample[[#This Row],[Cook median]])</f>
        <v>0.9057859703020994</v>
      </c>
      <c r="BA6" s="14">
        <f>IF(Dietary_Sample[[#This Row],[Cook median]]=0,0,Dietary_Sample[[#This Row],[Cook max]]/Dietary_Sample[[#This Row],[Cook median]])</f>
        <v>1.1950844854070659</v>
      </c>
      <c r="BB6" s="12">
        <f>VLOOKUP(A6,Summary!$1:$1048576,2,FALSE)</f>
        <v>1</v>
      </c>
      <c r="BF6" s="15"/>
    </row>
    <row r="7" spans="1:65" x14ac:dyDescent="0.55000000000000004">
      <c r="A7" s="10">
        <v>170</v>
      </c>
      <c r="B7" s="10" t="s">
        <v>54</v>
      </c>
      <c r="C7" s="10">
        <f>VLOOKUP($A7,'SAS Data'!$1:$1048576,MATCH(C$1,'SAS Data'!$3:$3,0),FALSE)</f>
        <v>3</v>
      </c>
      <c r="D7" s="10">
        <f>VLOOKUP($A7,'SAS Data'!$1:$1048576,MATCH(D$1,'SAS Data'!$3:$3,0),FALSE)</f>
        <v>3</v>
      </c>
      <c r="E7" s="10">
        <f t="shared" si="1"/>
        <v>6</v>
      </c>
      <c r="F7" s="11">
        <f>VLOOKUP($A7,'SAS Data'!$1:$1048576,MATCH(F$1,'SAS Data'!$3:$3,0),FALSE)</f>
        <v>17.211949497962024</v>
      </c>
      <c r="G7" s="12">
        <f>+Dietary_Sample[[#This Row],[Diet Cph]]*Dietary_Sample[[#This Row],[Diet Hrsn]]</f>
        <v>173135</v>
      </c>
      <c r="H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42261.299212598424</v>
      </c>
      <c r="I7" s="17">
        <f>+Dietary_Sample[[#This Row],[Employee count Sample Data Aide]]/Dietary_Sample[[#This Row],[Total aide &amp; Cook]]*Dietary_Sample[[#This Row],[Diet Hrsn]]</f>
        <v>2514.75</v>
      </c>
      <c r="J7" s="13">
        <f>IF(Dietary_Sample[[#This Row],[Aide Hours]]=0,0,Dietary_Sample[[#This Row],[Aide cost estimator]]/Dietary_Sample[[#This Row],[Aide Hours]])</f>
        <v>16.805368013758198</v>
      </c>
      <c r="K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130873.70078740157</v>
      </c>
      <c r="L7" s="17">
        <f>+Dietary_Sample[[#This Row],[Employee count Sample Data Cook]]/Dietary_Sample[[#This Row],[Total aide &amp; Cook]]*Dietary_Sample[[#This Row],[Diet Hrsn]]</f>
        <v>7544.25</v>
      </c>
      <c r="M7" s="13">
        <f>IF(Dietary_Sample[[#This Row],[Cook Hours]]=0,0,Dietary_Sample[[#This Row],[Cook cost estimator]]/Dietary_Sample[[#This Row],[Cook Hours]])</f>
        <v>17.347476659363299</v>
      </c>
      <c r="N7" s="12">
        <f>VLOOKUP(A7,'Estimator data 120523'!$A:$F,5,FALSE)</f>
        <v>173135</v>
      </c>
      <c r="O7" s="12">
        <f>VLOOKUP($A7,'SAS Data'!$1:$1048576,MATCH(O$1,'SAS Data'!$3:$3,0),FALSE)</f>
        <v>10059</v>
      </c>
      <c r="P7" s="13">
        <f>+Dietary_Sample[[#This Row],[Cost Estimator]]/Dietary_Sample[[#This Row],[Diet Hrsn]]</f>
        <v>17.211949497962024</v>
      </c>
      <c r="Q7" s="10">
        <f>COUNTIFS('Dietary Detail'!$R:$R,$A7,'Dietary Detail'!$U:$U,RIGHT(Q$1,4))</f>
        <v>1</v>
      </c>
      <c r="R7" s="10">
        <f>COUNTIFS('Dietary Detail'!$R:$R,$A7,'Dietary Detail'!$U:$U,RIGHT(R$1,4))</f>
        <v>3</v>
      </c>
      <c r="S7" s="10">
        <f>+Dietary_Sample[[#This Row],[Employee count Sample Data Aide]]+Dietary_Sample[[#This Row],[Employee count Sample Data Cook]]</f>
        <v>4</v>
      </c>
      <c r="T7" s="13">
        <v>15.5</v>
      </c>
      <c r="U7" s="13">
        <v>15.5</v>
      </c>
      <c r="V7" s="13">
        <v>15.5</v>
      </c>
      <c r="W7" s="13">
        <v>15.5</v>
      </c>
      <c r="X7" s="13">
        <v>16</v>
      </c>
      <c r="Y7" s="13">
        <v>16</v>
      </c>
      <c r="Z7" s="13">
        <v>16</v>
      </c>
      <c r="AA7" s="13">
        <v>16</v>
      </c>
      <c r="AB7" s="13">
        <f>IF(AND(Dietary_Sample[[#This Row],[Aide median]]=0,Dietary_Sample[[#This Row],[Cook median]]=0),0,IF(Dietary_Sample[[#This Row],[Aide median]]=0,1,Dietary_Sample[[#This Row],[Cook median]]/Dietary_Sample[[#This Row],[Aide median]]))</f>
        <v>1.032258064516129</v>
      </c>
      <c r="AC7" s="13">
        <f>IF(AND(Dietary_Sample[[#This Row],[Aide average]]=0,Dietary_Sample[[#This Row],[Cook average]]=0),0,IF(Dietary_Sample[[#This Row],[Aide average]]=0,1,Dietary_Sample[[#This Row],[Cook average]]/Dietary_Sample[[#This Row],[Aide average]]))</f>
        <v>1.032258064516129</v>
      </c>
      <c r="AD7" s="37">
        <f>COUNTIFS('Dietary Detail'!$R:$R,$A7,'Dietary Detail'!$T:$T,"&lt;"&amp;V7,'Dietary Detail'!$U:$U,RIGHT(AD$1,4))</f>
        <v>0</v>
      </c>
      <c r="AE7" s="37">
        <f>COUNTIFS('Dietary Detail'!$R:$R,$A7,'Dietary Detail'!$T:$T,"&lt;"&amp;W7,'Dietary Detail'!$U:$U,RIGHT(AE$1,4))</f>
        <v>0</v>
      </c>
      <c r="AF7" s="37">
        <f>COUNTIFS('Dietary Detail'!$R:$R,$A7,'Dietary Detail'!$T:$T,"&lt;"&amp;$BG$3,'Dietary Detail'!$U:$U,RIGHT(AF$1,4))</f>
        <v>1</v>
      </c>
      <c r="AG7" s="37">
        <f>COUNTIFS('Dietary Detail'!$R:$R,$A7,'Dietary Detail'!$T:$T,"&lt;"&amp;$BG$4,'Dietary Detail'!$U:$U,RIGHT(AG$1,4))</f>
        <v>1</v>
      </c>
      <c r="AH7" s="37">
        <f>COUNTIFS('Dietary Detail'!$R:$R,$A7,'Dietary Detail'!$T:$T,"&lt;"&amp;$BG$5,'Dietary Detail'!$U:$U,RIGHT(AH$1,4))</f>
        <v>1</v>
      </c>
      <c r="AI7" s="37">
        <f>COUNTIFS('Dietary Detail'!$R:$R,$A7,'Dietary Detail'!$T:$T,"&lt;"&amp;Z7,'Dietary Detail'!$U:$U,RIGHT(AI$1,4))</f>
        <v>0</v>
      </c>
      <c r="AJ7" s="37">
        <f>COUNTIFS('Dietary Detail'!$R:$R,$A7,'Dietary Detail'!$T:$T,"&lt;"&amp;AA7,'Dietary Detail'!$U:$U,RIGHT(AJ$1,4))</f>
        <v>0</v>
      </c>
      <c r="AK7" s="37">
        <f>COUNTIFS('Dietary Detail'!$R:$R,$A7,'Dietary Detail'!$T:$T,"&lt;"&amp;$BH$3,'Dietary Detail'!$U:$U,RIGHT(AK$1,4))</f>
        <v>3</v>
      </c>
      <c r="AL7" s="37">
        <f>COUNTIFS('Dietary Detail'!$R:$R,$A7,'Dietary Detail'!$T:$T,"&lt;"&amp;$BH$4,'Dietary Detail'!$U:$U,RIGHT(AL$1,4))</f>
        <v>3</v>
      </c>
      <c r="AM7" s="37">
        <f>COUNTIFS('Dietary Detail'!$R:$R,$A7,'Dietary Detail'!$T:$T,"&lt;"&amp;$BH$5,'Dietary Detail'!$U:$U,RIGHT(AM$1,4))</f>
        <v>3</v>
      </c>
      <c r="AN7" s="12">
        <f>+Dietary_Sample[[#This Row],[Aide median]]*Dietary_Sample[[#This Row],[Aide Hours]]</f>
        <v>38978.625</v>
      </c>
      <c r="AO7" s="12">
        <f>+Dietary_Sample[[#This Row],[Aide average]]*Dietary_Sample[[#This Row],[Aide Hours]]</f>
        <v>38978.625</v>
      </c>
      <c r="AP7" s="12">
        <f>+Dietary_Sample[[#This Row],[Cook median]]*Dietary_Sample[[#This Row],[Cook Hours]]</f>
        <v>120708</v>
      </c>
      <c r="AQ7" s="12">
        <f>+Dietary_Sample[[#This Row],[Cook average]]*Dietary_Sample[[#This Row],[Cook Hours]]</f>
        <v>120708</v>
      </c>
      <c r="AR7" s="12">
        <f>+Dietary_Sample[[#This Row],[Est average Aide wage cost]]+Dietary_Sample[[#This Row],[Est average Cook wage cost]]</f>
        <v>159686.625</v>
      </c>
      <c r="AS7" s="12">
        <f>+Dietary_Sample[[#This Row],[Est average Aide wage cost]]+Dietary_Sample[[#This Row],[Est average Cook wage cost]]</f>
        <v>159686.625</v>
      </c>
      <c r="AT7" s="14">
        <f>IF(Dietary_Sample[[#This Row],[Aide cost estimator]]=0,0,Dietary_Sample[[#This Row],[Est median Aide wage cost ]]/Dietary_Sample[[#This Row],[Aide cost estimator]])</f>
        <v>0.92232434227625848</v>
      </c>
      <c r="AU7" s="14">
        <f>IF(Dietary_Sample[[#This Row],[Aide cost estimator]]=0,0,Dietary_Sample[[#This Row],[Est average Aide wage cost]]/Dietary_Sample[[#This Row],[Aide cost estimator]])</f>
        <v>0.92232434227625848</v>
      </c>
      <c r="AV7" s="14">
        <f>IF(Dietary_Sample[[#This Row],[Cook cost estimator]]=0,0,Dietary_Sample[[#This Row],[Est median Cook wage cost]]/Dietary_Sample[[#This Row],[Cook cost estimator]])</f>
        <v>0.92232434227625848</v>
      </c>
      <c r="AW7" s="14">
        <f>IF(Dietary_Sample[[#This Row],[Cook cost estimator]]=0,0,Dietary_Sample[[#This Row],[Est average Cook wage cost]]/Dietary_Sample[[#This Row],[Cook cost estimator]])</f>
        <v>0.92232434227625848</v>
      </c>
      <c r="AX7" s="14">
        <f>IF(Dietary_Sample[[#This Row],[Aide median]]=0,0,Dietary_Sample[[#This Row],[Aide min]]/Dietary_Sample[[#This Row],[Aide median]])</f>
        <v>1</v>
      </c>
      <c r="AY7" s="14">
        <f>IF(Dietary_Sample[[#This Row],[Aide median]]=0,0,Dietary_Sample[[#This Row],[Aide max]]/Dietary_Sample[[#This Row],[Aide median]])</f>
        <v>1</v>
      </c>
      <c r="AZ7" s="14">
        <f>IF(Dietary_Sample[[#This Row],[Cook median]]=0,0,Dietary_Sample[[#This Row],[Cook min]]/Dietary_Sample[[#This Row],[Cook median]])</f>
        <v>1</v>
      </c>
      <c r="BA7" s="14">
        <f>IF(Dietary_Sample[[#This Row],[Cook median]]=0,0,Dietary_Sample[[#This Row],[Cook max]]/Dietary_Sample[[#This Row],[Cook median]])</f>
        <v>1</v>
      </c>
      <c r="BB7" s="12">
        <f>VLOOKUP(A7,Summary!$1:$1048576,2,FALSE)</f>
        <v>1</v>
      </c>
      <c r="BF7" s="15" t="s">
        <v>140</v>
      </c>
      <c r="BG7" s="14">
        <f>+Dietary_Sample[[#Totals],[Employee count Sample Data Aide]]/Dietary_Sample[[#Totals],[Total aide &amp; Cook]]</f>
        <v>0.72086531751570138</v>
      </c>
      <c r="BH7" s="14">
        <f>+Dietary_Sample[[#Totals],[Employee count Sample Data Cook]]/Dietary_Sample[[#Totals],[Total aide &amp; Cook]]</f>
        <v>0.27913468248429868</v>
      </c>
    </row>
    <row r="8" spans="1:65" x14ac:dyDescent="0.55000000000000004">
      <c r="A8" s="10">
        <v>173</v>
      </c>
      <c r="B8" s="10" t="s">
        <v>54</v>
      </c>
      <c r="C8" s="10">
        <f>VLOOKUP($A8,'SAS Data'!$1:$1048576,MATCH(C$1,'SAS Data'!$3:$3,0),FALSE)</f>
        <v>10</v>
      </c>
      <c r="D8" s="10">
        <f>VLOOKUP($A8,'SAS Data'!$1:$1048576,MATCH(D$1,'SAS Data'!$3:$3,0),FALSE)</f>
        <v>6</v>
      </c>
      <c r="E8" s="10">
        <f t="shared" si="1"/>
        <v>16</v>
      </c>
      <c r="F8" s="11">
        <f>VLOOKUP($A8,'SAS Data'!$1:$1048576,MATCH(F$1,'SAS Data'!$3:$3,0),FALSE)</f>
        <v>16.252142500288226</v>
      </c>
      <c r="G8" s="12">
        <f>+Dietary_Sample[[#This Row],[Diet Cph]]*Dietary_Sample[[#This Row],[Diet Hrsn]]</f>
        <v>422896.99999999994</v>
      </c>
      <c r="H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313037.09729187563</v>
      </c>
      <c r="I8" s="17">
        <f>+Dietary_Sample[[#This Row],[Employee count Sample Data Aide]]/Dietary_Sample[[#This Row],[Total aide &amp; Cook]]*Dietary_Sample[[#This Row],[Diet Hrsn]]</f>
        <v>19515.75</v>
      </c>
      <c r="J8" s="13">
        <f>IF(Dietary_Sample[[#This Row],[Aide Hours]]=0,0,Dietary_Sample[[#This Row],[Aide cost estimator]]/Dietary_Sample[[#This Row],[Aide Hours]])</f>
        <v>16.040228907004632</v>
      </c>
      <c r="K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109859.90270812437</v>
      </c>
      <c r="L8" s="17">
        <f>+Dietary_Sample[[#This Row],[Employee count Sample Data Cook]]/Dietary_Sample[[#This Row],[Total aide &amp; Cook]]*Dietary_Sample[[#This Row],[Diet Hrsn]]</f>
        <v>6505.25</v>
      </c>
      <c r="M8" s="13">
        <f>IF(Dietary_Sample[[#This Row],[Cook Hours]]=0,0,Dietary_Sample[[#This Row],[Cook cost estimator]]/Dietary_Sample[[#This Row],[Cook Hours]])</f>
        <v>16.887883280139022</v>
      </c>
      <c r="N8" s="12">
        <f>VLOOKUP(A8,'Estimator data 120523'!$A:$F,5,FALSE)</f>
        <v>422897</v>
      </c>
      <c r="O8" s="12">
        <f>VLOOKUP($A8,'SAS Data'!$1:$1048576,MATCH(O$1,'SAS Data'!$3:$3,0),FALSE)</f>
        <v>26021</v>
      </c>
      <c r="P8" s="13">
        <f>+Dietary_Sample[[#This Row],[Cost Estimator]]/Dietary_Sample[[#This Row],[Diet Hrsn]]</f>
        <v>16.25214250028823</v>
      </c>
      <c r="Q8" s="10">
        <f>COUNTIFS('Dietary Detail'!$R:$R,$A8,'Dietary Detail'!$U:$U,RIGHT(Q$1,4))</f>
        <v>12</v>
      </c>
      <c r="R8" s="10">
        <f>COUNTIFS('Dietary Detail'!$R:$R,$A8,'Dietary Detail'!$U:$U,RIGHT(R$1,4))</f>
        <v>4</v>
      </c>
      <c r="S8" s="10">
        <f>+Dietary_Sample[[#This Row],[Employee count Sample Data Aide]]+Dietary_Sample[[#This Row],[Employee count Sample Data Cook]]</f>
        <v>16</v>
      </c>
      <c r="T8" s="13">
        <v>16.899999999999999</v>
      </c>
      <c r="U8" s="13">
        <v>20.7</v>
      </c>
      <c r="V8" s="13">
        <v>18.45</v>
      </c>
      <c r="W8" s="13">
        <v>18.583333333333332</v>
      </c>
      <c r="X8" s="13">
        <v>18.5</v>
      </c>
      <c r="Y8" s="13">
        <v>20.8</v>
      </c>
      <c r="Z8" s="13">
        <v>19.424999999999997</v>
      </c>
      <c r="AA8" s="13">
        <v>19.537500000000001</v>
      </c>
      <c r="AB8" s="13">
        <f>IF(AND(Dietary_Sample[[#This Row],[Aide median]]=0,Dietary_Sample[[#This Row],[Cook median]]=0),0,IF(Dietary_Sample[[#This Row],[Aide median]]=0,1,Dietary_Sample[[#This Row],[Cook median]]/Dietary_Sample[[#This Row],[Aide median]]))</f>
        <v>1.0528455284552845</v>
      </c>
      <c r="AC8" s="13">
        <f>IF(AND(Dietary_Sample[[#This Row],[Aide average]]=0,Dietary_Sample[[#This Row],[Cook average]]=0),0,IF(Dietary_Sample[[#This Row],[Aide average]]=0,1,Dietary_Sample[[#This Row],[Cook average]]/Dietary_Sample[[#This Row],[Aide average]]))</f>
        <v>1.0513452914798207</v>
      </c>
      <c r="AD8" s="37">
        <f>COUNTIFS('Dietary Detail'!$R:$R,$A8,'Dietary Detail'!$T:$T,"&lt;"&amp;V8,'Dietary Detail'!$U:$U,RIGHT(AD$1,4))</f>
        <v>5</v>
      </c>
      <c r="AE8" s="37">
        <f>COUNTIFS('Dietary Detail'!$R:$R,$A8,'Dietary Detail'!$T:$T,"&lt;"&amp;W8,'Dietary Detail'!$U:$U,RIGHT(AE$1,4))</f>
        <v>7</v>
      </c>
      <c r="AF8" s="37">
        <f>COUNTIFS('Dietary Detail'!$R:$R,$A8,'Dietary Detail'!$T:$T,"&lt;"&amp;$BG$3,'Dietary Detail'!$U:$U,RIGHT(AF$1,4))</f>
        <v>12</v>
      </c>
      <c r="AG8" s="37">
        <f>COUNTIFS('Dietary Detail'!$R:$R,$A8,'Dietary Detail'!$T:$T,"&lt;"&amp;$BG$4,'Dietary Detail'!$U:$U,RIGHT(AG$1,4))</f>
        <v>0</v>
      </c>
      <c r="AH8" s="37">
        <f>COUNTIFS('Dietary Detail'!$R:$R,$A8,'Dietary Detail'!$T:$T,"&lt;"&amp;$BG$5,'Dietary Detail'!$U:$U,RIGHT(AH$1,4))</f>
        <v>0</v>
      </c>
      <c r="AI8" s="37">
        <f>COUNTIFS('Dietary Detail'!$R:$R,$A8,'Dietary Detail'!$T:$T,"&lt;"&amp;Z8,'Dietary Detail'!$U:$U,RIGHT(AI$1,4))</f>
        <v>2</v>
      </c>
      <c r="AJ8" s="37">
        <f>COUNTIFS('Dietary Detail'!$R:$R,$A8,'Dietary Detail'!$T:$T,"&lt;"&amp;AA8,'Dietary Detail'!$U:$U,RIGHT(AJ$1,4))</f>
        <v>2</v>
      </c>
      <c r="AK8" s="37">
        <f>COUNTIFS('Dietary Detail'!$R:$R,$A8,'Dietary Detail'!$T:$T,"&lt;"&amp;$BH$3,'Dietary Detail'!$U:$U,RIGHT(AK$1,4))</f>
        <v>4</v>
      </c>
      <c r="AL8" s="37">
        <f>COUNTIFS('Dietary Detail'!$R:$R,$A8,'Dietary Detail'!$T:$T,"&lt;"&amp;$BH$4,'Dietary Detail'!$U:$U,RIGHT(AL$1,4))</f>
        <v>3</v>
      </c>
      <c r="AM8" s="37">
        <f>COUNTIFS('Dietary Detail'!$R:$R,$A8,'Dietary Detail'!$T:$T,"&lt;"&amp;$BH$5,'Dietary Detail'!$U:$U,RIGHT(AM$1,4))</f>
        <v>3</v>
      </c>
      <c r="AN8" s="12">
        <f>+Dietary_Sample[[#This Row],[Aide median]]*Dietary_Sample[[#This Row],[Aide Hours]]</f>
        <v>360065.58749999997</v>
      </c>
      <c r="AO8" s="12">
        <f>+Dietary_Sample[[#This Row],[Aide average]]*Dietary_Sample[[#This Row],[Aide Hours]]</f>
        <v>362667.6875</v>
      </c>
      <c r="AP8" s="12">
        <f>+Dietary_Sample[[#This Row],[Cook median]]*Dietary_Sample[[#This Row],[Cook Hours]]</f>
        <v>126364.48124999998</v>
      </c>
      <c r="AQ8" s="12">
        <f>+Dietary_Sample[[#This Row],[Cook average]]*Dietary_Sample[[#This Row],[Cook Hours]]</f>
        <v>127096.32187500001</v>
      </c>
      <c r="AR8" s="12">
        <f>+Dietary_Sample[[#This Row],[Est average Aide wage cost]]+Dietary_Sample[[#This Row],[Est average Cook wage cost]]</f>
        <v>489764.00937500002</v>
      </c>
      <c r="AS8" s="12">
        <f>+Dietary_Sample[[#This Row],[Est average Aide wage cost]]+Dietary_Sample[[#This Row],[Est average Cook wage cost]]</f>
        <v>489764.00937500002</v>
      </c>
      <c r="AT8" s="14">
        <f>IF(Dietary_Sample[[#This Row],[Aide cost estimator]]=0,0,Dietary_Sample[[#This Row],[Est median Aide wage cost ]]/Dietary_Sample[[#This Row],[Aide cost estimator]])</f>
        <v>1.1502329615722031</v>
      </c>
      <c r="AU8" s="14">
        <f>IF(Dietary_Sample[[#This Row],[Aide cost estimator]]=0,0,Dietary_Sample[[#This Row],[Est average Aide wage cost]]/Dietary_Sample[[#This Row],[Aide cost estimator]])</f>
        <v>1.1585453948988316</v>
      </c>
      <c r="AV8" s="14">
        <f>IF(Dietary_Sample[[#This Row],[Cook cost estimator]]=0,0,Dietary_Sample[[#This Row],[Est median Cook wage cost]]/Dietary_Sample[[#This Row],[Cook cost estimator]])</f>
        <v>1.1502329615722031</v>
      </c>
      <c r="AW8" s="14">
        <f>IF(Dietary_Sample[[#This Row],[Cook cost estimator]]=0,0,Dietary_Sample[[#This Row],[Est average Cook wage cost]]/Dietary_Sample[[#This Row],[Cook cost estimator]])</f>
        <v>1.1568945424307295</v>
      </c>
      <c r="AX8" s="14">
        <f>IF(Dietary_Sample[[#This Row],[Aide median]]=0,0,Dietary_Sample[[#This Row],[Aide min]]/Dietary_Sample[[#This Row],[Aide median]])</f>
        <v>0.9159891598915989</v>
      </c>
      <c r="AY8" s="14">
        <f>IF(Dietary_Sample[[#This Row],[Aide median]]=0,0,Dietary_Sample[[#This Row],[Aide max]]/Dietary_Sample[[#This Row],[Aide median]])</f>
        <v>1.1219512195121952</v>
      </c>
      <c r="AZ8" s="14">
        <f>IF(Dietary_Sample[[#This Row],[Cook median]]=0,0,Dietary_Sample[[#This Row],[Cook min]]/Dietary_Sample[[#This Row],[Cook median]])</f>
        <v>0.95238095238095255</v>
      </c>
      <c r="BA8" s="14">
        <f>IF(Dietary_Sample[[#This Row],[Cook median]]=0,0,Dietary_Sample[[#This Row],[Cook max]]/Dietary_Sample[[#This Row],[Cook median]])</f>
        <v>1.070785070785071</v>
      </c>
      <c r="BB8" s="12">
        <f>VLOOKUP(A8,Summary!$1:$1048576,2,FALSE)</f>
        <v>1</v>
      </c>
      <c r="BF8" s="15" t="s">
        <v>141</v>
      </c>
      <c r="BG8" s="14">
        <f>+Dietary_Sample[[#Totals],[Employee count Sample Data Aide]]/(Dietary_Sample[[#Totals],[Employee count Sample Data Aide]]+Dietary_Sample[[#Totals],[Employee count Sample Data Cook]]*Dietary_Sample[[#Totals],[Wage difference Median]])</f>
        <v>0.66860427964197999</v>
      </c>
      <c r="BH8" s="14">
        <f>1-BG8</f>
        <v>0.33139572035802001</v>
      </c>
    </row>
    <row r="9" spans="1:65" x14ac:dyDescent="0.55000000000000004">
      <c r="A9" s="10">
        <v>178</v>
      </c>
      <c r="B9" s="10" t="s">
        <v>54</v>
      </c>
      <c r="C9" s="10">
        <f>VLOOKUP($A9,'SAS Data'!$1:$1048576,MATCH(C$1,'SAS Data'!$3:$3,0),FALSE)</f>
        <v>9</v>
      </c>
      <c r="D9" s="10">
        <f>VLOOKUP($A9,'SAS Data'!$1:$1048576,MATCH(D$1,'SAS Data'!$3:$3,0),FALSE)</f>
        <v>9</v>
      </c>
      <c r="E9" s="10">
        <f t="shared" si="1"/>
        <v>18</v>
      </c>
      <c r="F9" s="11">
        <f>VLOOKUP($A9,'SAS Data'!$1:$1048576,MATCH(F$1,'SAS Data'!$3:$3,0),FALSE)</f>
        <v>17.714659343533413</v>
      </c>
      <c r="G9" s="12">
        <f>+Dietary_Sample[[#This Row],[Diet Cph]]*Dietary_Sample[[#This Row],[Diet Hrsn]]</f>
        <v>541856</v>
      </c>
      <c r="H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463278.1057934509</v>
      </c>
      <c r="I9" s="17">
        <f>+Dietary_Sample[[#This Row],[Employee count Sample Data Aide]]/Dietary_Sample[[#This Row],[Total aide &amp; Cook]]*Dietary_Sample[[#This Row],[Diet Hrsn]]</f>
        <v>26917.439999999999</v>
      </c>
      <c r="J9" s="13">
        <f>IF(Dietary_Sample[[#This Row],[Aide Hours]]=0,0,Dietary_Sample[[#This Row],[Aide cost estimator]]/Dietary_Sample[[#This Row],[Aide Hours]])</f>
        <v>17.211076008470751</v>
      </c>
      <c r="K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78577.894206549128</v>
      </c>
      <c r="L9" s="17">
        <f>+Dietary_Sample[[#This Row],[Employee count Sample Data Cook]]/Dietary_Sample[[#This Row],[Total aide &amp; Cook]]*Dietary_Sample[[#This Row],[Diet Hrsn]]</f>
        <v>3670.56</v>
      </c>
      <c r="M9" s="13">
        <f>IF(Dietary_Sample[[#This Row],[Cook Hours]]=0,0,Dietary_Sample[[#This Row],[Cook cost estimator]]/Dietary_Sample[[#This Row],[Cook Hours]])</f>
        <v>21.407603800659608</v>
      </c>
      <c r="N9" s="12">
        <f>VLOOKUP(A9,'Estimator data 120523'!$A:$F,5,FALSE)</f>
        <v>541856</v>
      </c>
      <c r="O9" s="12">
        <f>VLOOKUP($A9,'SAS Data'!$1:$1048576,MATCH(O$1,'SAS Data'!$3:$3,0),FALSE)</f>
        <v>30588</v>
      </c>
      <c r="P9" s="13">
        <f>+Dietary_Sample[[#This Row],[Cost Estimator]]/Dietary_Sample[[#This Row],[Diet Hrsn]]</f>
        <v>17.714659343533413</v>
      </c>
      <c r="Q9" s="10">
        <f>COUNTIFS('Dietary Detail'!$R:$R,$A9,'Dietary Detail'!$U:$U,RIGHT(Q$1,4))</f>
        <v>22</v>
      </c>
      <c r="R9" s="10">
        <f>COUNTIFS('Dietary Detail'!$R:$R,$A9,'Dietary Detail'!$U:$U,RIGHT(R$1,4))</f>
        <v>3</v>
      </c>
      <c r="S9" s="10">
        <f>+Dietary_Sample[[#This Row],[Employee count Sample Data Aide]]+Dietary_Sample[[#This Row],[Employee count Sample Data Cook]]</f>
        <v>25</v>
      </c>
      <c r="T9" s="13">
        <v>16.2</v>
      </c>
      <c r="U9" s="13">
        <v>19.149999999999999</v>
      </c>
      <c r="V9" s="13">
        <v>16.2</v>
      </c>
      <c r="W9" s="13">
        <v>16.572727272727267</v>
      </c>
      <c r="X9" s="13">
        <v>18.399999999999999</v>
      </c>
      <c r="Y9" s="13">
        <v>22.65</v>
      </c>
      <c r="Z9" s="13">
        <v>20.149999999999999</v>
      </c>
      <c r="AA9" s="13">
        <v>20.399999999999999</v>
      </c>
      <c r="AB9" s="13">
        <f>IF(AND(Dietary_Sample[[#This Row],[Aide median]]=0,Dietary_Sample[[#This Row],[Cook median]]=0),0,IF(Dietary_Sample[[#This Row],[Aide median]]=0,1,Dietary_Sample[[#This Row],[Cook median]]/Dietary_Sample[[#This Row],[Aide median]]))</f>
        <v>1.2438271604938271</v>
      </c>
      <c r="AC9" s="13">
        <f>IF(AND(Dietary_Sample[[#This Row],[Aide average]]=0,Dietary_Sample[[#This Row],[Cook average]]=0),0,IF(Dietary_Sample[[#This Row],[Aide average]]=0,1,Dietary_Sample[[#This Row],[Cook average]]/Dietary_Sample[[#This Row],[Aide average]]))</f>
        <v>1.2309380142622055</v>
      </c>
      <c r="AD9" s="37">
        <f>COUNTIFS('Dietary Detail'!$R:$R,$A9,'Dietary Detail'!$T:$T,"&lt;"&amp;V9,'Dietary Detail'!$U:$U,RIGHT(AD$1,4))</f>
        <v>0</v>
      </c>
      <c r="AE9" s="37">
        <f>COUNTIFS('Dietary Detail'!$R:$R,$A9,'Dietary Detail'!$T:$T,"&lt;"&amp;W9,'Dietary Detail'!$U:$U,RIGHT(AE$1,4))</f>
        <v>18</v>
      </c>
      <c r="AF9" s="37">
        <f>COUNTIFS('Dietary Detail'!$R:$R,$A9,'Dietary Detail'!$T:$T,"&lt;"&amp;$BG$3,'Dietary Detail'!$U:$U,RIGHT(AF$1,4))</f>
        <v>22</v>
      </c>
      <c r="AG9" s="37">
        <f>COUNTIFS('Dietary Detail'!$R:$R,$A9,'Dietary Detail'!$T:$T,"&lt;"&amp;$BG$4,'Dietary Detail'!$U:$U,RIGHT(AG$1,4))</f>
        <v>0</v>
      </c>
      <c r="AH9" s="37">
        <f>COUNTIFS('Dietary Detail'!$R:$R,$A9,'Dietary Detail'!$T:$T,"&lt;"&amp;$BG$5,'Dietary Detail'!$U:$U,RIGHT(AH$1,4))</f>
        <v>18</v>
      </c>
      <c r="AI9" s="37">
        <f>COUNTIFS('Dietary Detail'!$R:$R,$A9,'Dietary Detail'!$T:$T,"&lt;"&amp;Z9,'Dietary Detail'!$U:$U,RIGHT(AI$1,4))</f>
        <v>1</v>
      </c>
      <c r="AJ9" s="37">
        <f>COUNTIFS('Dietary Detail'!$R:$R,$A9,'Dietary Detail'!$T:$T,"&lt;"&amp;AA9,'Dietary Detail'!$U:$U,RIGHT(AJ$1,4))</f>
        <v>2</v>
      </c>
      <c r="AK9" s="37">
        <f>COUNTIFS('Dietary Detail'!$R:$R,$A9,'Dietary Detail'!$T:$T,"&lt;"&amp;$BH$3,'Dietary Detail'!$U:$U,RIGHT(AK$1,4))</f>
        <v>3</v>
      </c>
      <c r="AL9" s="37">
        <f>COUNTIFS('Dietary Detail'!$R:$R,$A9,'Dietary Detail'!$T:$T,"&lt;"&amp;$BH$4,'Dietary Detail'!$U:$U,RIGHT(AL$1,4))</f>
        <v>1</v>
      </c>
      <c r="AM9" s="37">
        <f>COUNTIFS('Dietary Detail'!$R:$R,$A9,'Dietary Detail'!$T:$T,"&lt;"&amp;$BH$5,'Dietary Detail'!$U:$U,RIGHT(AM$1,4))</f>
        <v>1</v>
      </c>
      <c r="AN9" s="12">
        <f>+Dietary_Sample[[#This Row],[Aide median]]*Dietary_Sample[[#This Row],[Aide Hours]]</f>
        <v>436062.52799999993</v>
      </c>
      <c r="AO9" s="12">
        <f>+Dietary_Sample[[#This Row],[Aide average]]*Dietary_Sample[[#This Row],[Aide Hours]]</f>
        <v>446095.39199999982</v>
      </c>
      <c r="AP9" s="12">
        <f>+Dietary_Sample[[#This Row],[Cook median]]*Dietary_Sample[[#This Row],[Cook Hours]]</f>
        <v>73961.784</v>
      </c>
      <c r="AQ9" s="12">
        <f>+Dietary_Sample[[#This Row],[Cook average]]*Dietary_Sample[[#This Row],[Cook Hours]]</f>
        <v>74879.423999999999</v>
      </c>
      <c r="AR9" s="12">
        <f>+Dietary_Sample[[#This Row],[Est average Aide wage cost]]+Dietary_Sample[[#This Row],[Est average Cook wage cost]]</f>
        <v>520974.81599999982</v>
      </c>
      <c r="AS9" s="12">
        <f>+Dietary_Sample[[#This Row],[Est average Aide wage cost]]+Dietary_Sample[[#This Row],[Est average Cook wage cost]]</f>
        <v>520974.81599999982</v>
      </c>
      <c r="AT9" s="14">
        <f>IF(Dietary_Sample[[#This Row],[Aide cost estimator]]=0,0,Dietary_Sample[[#This Row],[Est median Aide wage cost ]]/Dietary_Sample[[#This Row],[Aide cost estimator]])</f>
        <v>0.9412543406366265</v>
      </c>
      <c r="AU9" s="14">
        <f>IF(Dietary_Sample[[#This Row],[Aide cost estimator]]=0,0,Dietary_Sample[[#This Row],[Est average Aide wage cost]]/Dietary_Sample[[#This Row],[Aide cost estimator]])</f>
        <v>0.96291058528651496</v>
      </c>
      <c r="AV9" s="14">
        <f>IF(Dietary_Sample[[#This Row],[Cook cost estimator]]=0,0,Dietary_Sample[[#This Row],[Est median Cook wage cost]]/Dietary_Sample[[#This Row],[Cook cost estimator]])</f>
        <v>0.94125434063662661</v>
      </c>
      <c r="AW9" s="14">
        <f>IF(Dietary_Sample[[#This Row],[Cook cost estimator]]=0,0,Dietary_Sample[[#This Row],[Est average Cook wage cost]]/Dietary_Sample[[#This Row],[Cook cost estimator]])</f>
        <v>0.95293243419291229</v>
      </c>
      <c r="AX9" s="14">
        <f>IF(Dietary_Sample[[#This Row],[Aide median]]=0,0,Dietary_Sample[[#This Row],[Aide min]]/Dietary_Sample[[#This Row],[Aide median]])</f>
        <v>1</v>
      </c>
      <c r="AY9" s="14">
        <f>IF(Dietary_Sample[[#This Row],[Aide median]]=0,0,Dietary_Sample[[#This Row],[Aide max]]/Dietary_Sample[[#This Row],[Aide median]])</f>
        <v>1.1820987654320987</v>
      </c>
      <c r="AZ9" s="14">
        <f>IF(Dietary_Sample[[#This Row],[Cook median]]=0,0,Dietary_Sample[[#This Row],[Cook min]]/Dietary_Sample[[#This Row],[Cook median]])</f>
        <v>0.91315136476426795</v>
      </c>
      <c r="BA9" s="14">
        <f>IF(Dietary_Sample[[#This Row],[Cook median]]=0,0,Dietary_Sample[[#This Row],[Cook max]]/Dietary_Sample[[#This Row],[Cook median]])</f>
        <v>1.1240694789081886</v>
      </c>
      <c r="BB9" s="12">
        <f>VLOOKUP(A9,Summary!$1:$1048576,2,FALSE)</f>
        <v>3</v>
      </c>
      <c r="BF9" s="15"/>
    </row>
    <row r="10" spans="1:65" x14ac:dyDescent="0.55000000000000004">
      <c r="A10" s="10">
        <v>183</v>
      </c>
      <c r="B10" s="10" t="s">
        <v>54</v>
      </c>
      <c r="C10" s="10">
        <f>VLOOKUP($A10,'SAS Data'!$1:$1048576,MATCH(C$1,'SAS Data'!$3:$3,0),FALSE)</f>
        <v>0</v>
      </c>
      <c r="D10" s="10">
        <f>VLOOKUP($A10,'SAS Data'!$1:$1048576,MATCH(D$1,'SAS Data'!$3:$3,0),FALSE)</f>
        <v>0</v>
      </c>
      <c r="E10" s="10">
        <f t="shared" si="1"/>
        <v>0</v>
      </c>
      <c r="F10" s="11">
        <f>VLOOKUP($A10,'SAS Data'!$1:$1048576,MATCH(F$1,'SAS Data'!$3:$3,0),FALSE)</f>
        <v>0</v>
      </c>
      <c r="G10" s="12">
        <f>+Dietary_Sample[[#This Row],[Diet Cph]]*Dietary_Sample[[#This Row],[Diet Hrsn]]</f>
        <v>0</v>
      </c>
      <c r="H1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145080.64103531084</v>
      </c>
      <c r="I10" s="17">
        <f>+Dietary_Sample[[#This Row],[Employee count Sample Data Aide]]/Dietary_Sample[[#This Row],[Total aide &amp; Cook]]*Dietary_Sample[[#This Row],[Diet Hrsn]]</f>
        <v>7092.5</v>
      </c>
      <c r="J10" s="13">
        <f>IF(Dietary_Sample[[#This Row],[Aide Hours]]=0,0,Dietary_Sample[[#This Row],[Aide cost estimator]]/Dietary_Sample[[#This Row],[Aide Hours]])</f>
        <v>20.455501027185171</v>
      </c>
      <c r="K1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31646.882320256111</v>
      </c>
      <c r="L10" s="17">
        <f>+Dietary_Sample[[#This Row],[Employee count Sample Data Cook]]/Dietary_Sample[[#This Row],[Total aide &amp; Cook]]*Dietary_Sample[[#This Row],[Diet Hrsn]]</f>
        <v>1418.5</v>
      </c>
      <c r="M10" s="13">
        <f>IF(Dietary_Sample[[#This Row],[Cook Hours]]=0,0,Dietary_Sample[[#This Row],[Cook cost estimator]]/Dietary_Sample[[#This Row],[Cook Hours]])</f>
        <v>22.310103856366663</v>
      </c>
      <c r="N10" s="12">
        <f>VLOOKUP(A10,'Estimator data 120523'!$A:$F,5,FALSE)</f>
        <v>176727.52335556695</v>
      </c>
      <c r="O10" s="12">
        <f>VLOOKUP($A10,'SAS Data'!$1:$1048576,MATCH(O$1,'SAS Data'!$3:$3,0),FALSE)</f>
        <v>8511</v>
      </c>
      <c r="P10" s="13">
        <f>+Dietary_Sample[[#This Row],[Cost Estimator]]/Dietary_Sample[[#This Row],[Diet Hrsn]]</f>
        <v>20.764601498715422</v>
      </c>
      <c r="Q10" s="10">
        <f>COUNTIFS('Dietary Detail'!$R:$R,$A10,'Dietary Detail'!$U:$U,RIGHT(Q$1,4))</f>
        <v>5</v>
      </c>
      <c r="R10" s="10">
        <f>COUNTIFS('Dietary Detail'!$R:$R,$A10,'Dietary Detail'!$U:$U,RIGHT(R$1,4))</f>
        <v>1</v>
      </c>
      <c r="S10" s="10">
        <f>+Dietary_Sample[[#This Row],[Employee count Sample Data Aide]]+Dietary_Sample[[#This Row],[Employee count Sample Data Cook]]</f>
        <v>6</v>
      </c>
      <c r="T10" s="13">
        <v>17.899999999999999</v>
      </c>
      <c r="U10" s="13">
        <v>20.76</v>
      </c>
      <c r="V10" s="13">
        <v>18.64</v>
      </c>
      <c r="W10" s="13">
        <v>18.966000000000001</v>
      </c>
      <c r="X10" s="13">
        <v>20.329999999999998</v>
      </c>
      <c r="Y10" s="13">
        <v>20.329999999999998</v>
      </c>
      <c r="Z10" s="13">
        <v>20.329999999999998</v>
      </c>
      <c r="AA10" s="13">
        <v>20.329999999999998</v>
      </c>
      <c r="AB10" s="13">
        <f>IF(AND(Dietary_Sample[[#This Row],[Aide median]]=0,Dietary_Sample[[#This Row],[Cook median]]=0),0,IF(Dietary_Sample[[#This Row],[Aide median]]=0,1,Dietary_Sample[[#This Row],[Cook median]]/Dietary_Sample[[#This Row],[Aide median]]))</f>
        <v>1.0906652360515021</v>
      </c>
      <c r="AC10" s="13">
        <f>IF(AND(Dietary_Sample[[#This Row],[Aide average]]=0,Dietary_Sample[[#This Row],[Cook average]]=0),0,IF(Dietary_Sample[[#This Row],[Aide average]]=0,1,Dietary_Sample[[#This Row],[Cook average]]/Dietary_Sample[[#This Row],[Aide average]]))</f>
        <v>1.071918169355689</v>
      </c>
      <c r="AD10" s="37">
        <f>COUNTIFS('Dietary Detail'!$R:$R,$A10,'Dietary Detail'!$T:$T,"&lt;"&amp;V10,'Dietary Detail'!$U:$U,RIGHT(AD$1,4))</f>
        <v>2</v>
      </c>
      <c r="AE10" s="37">
        <f>COUNTIFS('Dietary Detail'!$R:$R,$A10,'Dietary Detail'!$T:$T,"&lt;"&amp;W10,'Dietary Detail'!$U:$U,RIGHT(AE$1,4))</f>
        <v>3</v>
      </c>
      <c r="AF10" s="37">
        <f>COUNTIFS('Dietary Detail'!$R:$R,$A10,'Dietary Detail'!$T:$T,"&lt;"&amp;$BG$3,'Dietary Detail'!$U:$U,RIGHT(AF$1,4))</f>
        <v>5</v>
      </c>
      <c r="AG10" s="37">
        <f>COUNTIFS('Dietary Detail'!$R:$R,$A10,'Dietary Detail'!$T:$T,"&lt;"&amp;$BG$4,'Dietary Detail'!$U:$U,RIGHT(AG$1,4))</f>
        <v>0</v>
      </c>
      <c r="AH10" s="37">
        <f>COUNTIFS('Dietary Detail'!$R:$R,$A10,'Dietary Detail'!$T:$T,"&lt;"&amp;$BG$5,'Dietary Detail'!$U:$U,RIGHT(AH$1,4))</f>
        <v>0</v>
      </c>
      <c r="AI10" s="37">
        <f>COUNTIFS('Dietary Detail'!$R:$R,$A10,'Dietary Detail'!$T:$T,"&lt;"&amp;Z10,'Dietary Detail'!$U:$U,RIGHT(AI$1,4))</f>
        <v>0</v>
      </c>
      <c r="AJ10" s="37">
        <f>COUNTIFS('Dietary Detail'!$R:$R,$A10,'Dietary Detail'!$T:$T,"&lt;"&amp;AA10,'Dietary Detail'!$U:$U,RIGHT(AJ$1,4))</f>
        <v>0</v>
      </c>
      <c r="AK10" s="37">
        <f>COUNTIFS('Dietary Detail'!$R:$R,$A10,'Dietary Detail'!$T:$T,"&lt;"&amp;$BH$3,'Dietary Detail'!$U:$U,RIGHT(AK$1,4))</f>
        <v>1</v>
      </c>
      <c r="AL10" s="37">
        <f>COUNTIFS('Dietary Detail'!$R:$R,$A10,'Dietary Detail'!$T:$T,"&lt;"&amp;$BH$4,'Dietary Detail'!$U:$U,RIGHT(AL$1,4))</f>
        <v>0</v>
      </c>
      <c r="AM10" s="37">
        <f>COUNTIFS('Dietary Detail'!$R:$R,$A10,'Dietary Detail'!$T:$T,"&lt;"&amp;$BH$5,'Dietary Detail'!$U:$U,RIGHT(AM$1,4))</f>
        <v>0</v>
      </c>
      <c r="AN10" s="12">
        <f>+Dietary_Sample[[#This Row],[Aide median]]*Dietary_Sample[[#This Row],[Aide Hours]]</f>
        <v>132204.20000000001</v>
      </c>
      <c r="AO10" s="12">
        <f>+Dietary_Sample[[#This Row],[Aide average]]*Dietary_Sample[[#This Row],[Aide Hours]]</f>
        <v>134516.35500000001</v>
      </c>
      <c r="AP10" s="12">
        <f>+Dietary_Sample[[#This Row],[Cook median]]*Dietary_Sample[[#This Row],[Cook Hours]]</f>
        <v>28838.104999999996</v>
      </c>
      <c r="AQ10" s="12">
        <f>+Dietary_Sample[[#This Row],[Cook average]]*Dietary_Sample[[#This Row],[Cook Hours]]</f>
        <v>28838.104999999996</v>
      </c>
      <c r="AR10" s="12">
        <f>+Dietary_Sample[[#This Row],[Est average Aide wage cost]]+Dietary_Sample[[#This Row],[Est average Cook wage cost]]</f>
        <v>163354.46000000002</v>
      </c>
      <c r="AS10" s="12">
        <f>+Dietary_Sample[[#This Row],[Est average Aide wage cost]]+Dietary_Sample[[#This Row],[Est average Cook wage cost]]</f>
        <v>163354.46000000002</v>
      </c>
      <c r="AT10" s="14">
        <f>IF(Dietary_Sample[[#This Row],[Aide cost estimator]]=0,0,Dietary_Sample[[#This Row],[Est median Aide wage cost ]]/Dietary_Sample[[#This Row],[Aide cost estimator]])</f>
        <v>0.91124631829978708</v>
      </c>
      <c r="AU10" s="14">
        <f>IF(Dietary_Sample[[#This Row],[Aide cost estimator]]=0,0,Dietary_Sample[[#This Row],[Est average Aide wage cost]]/Dietary_Sample[[#This Row],[Aide cost estimator]])</f>
        <v>0.92718335154902154</v>
      </c>
      <c r="AV10" s="14">
        <f>IF(Dietary_Sample[[#This Row],[Cook cost estimator]]=0,0,Dietary_Sample[[#This Row],[Est median Cook wage cost]]/Dietary_Sample[[#This Row],[Cook cost estimator]])</f>
        <v>0.91124631829978686</v>
      </c>
      <c r="AW10" s="14">
        <f>IF(Dietary_Sample[[#This Row],[Cook cost estimator]]=0,0,Dietary_Sample[[#This Row],[Est average Cook wage cost]]/Dietary_Sample[[#This Row],[Cook cost estimator]])</f>
        <v>0.91124631829978686</v>
      </c>
      <c r="AX10" s="14">
        <f>IF(Dietary_Sample[[#This Row],[Aide median]]=0,0,Dietary_Sample[[#This Row],[Aide min]]/Dietary_Sample[[#This Row],[Aide median]])</f>
        <v>0.96030042918454928</v>
      </c>
      <c r="AY10" s="14">
        <f>IF(Dietary_Sample[[#This Row],[Aide median]]=0,0,Dietary_Sample[[#This Row],[Aide max]]/Dietary_Sample[[#This Row],[Aide median]])</f>
        <v>1.1137339055793991</v>
      </c>
      <c r="AZ10" s="14">
        <f>IF(Dietary_Sample[[#This Row],[Cook median]]=0,0,Dietary_Sample[[#This Row],[Cook min]]/Dietary_Sample[[#This Row],[Cook median]])</f>
        <v>1</v>
      </c>
      <c r="BA10" s="14">
        <f>IF(Dietary_Sample[[#This Row],[Cook median]]=0,0,Dietary_Sample[[#This Row],[Cook max]]/Dietary_Sample[[#This Row],[Cook median]])</f>
        <v>1</v>
      </c>
      <c r="BB10" s="12">
        <f>VLOOKUP(A10,Summary!$1:$1048576,2,FALSE)</f>
        <v>1</v>
      </c>
      <c r="BF10" s="15" t="s">
        <v>83</v>
      </c>
      <c r="BG10" s="14">
        <f>+Dietary_Sample[[#Totals],[Below median Aide]]/Dietary_Sample[[#Totals],[Employee count Sample Data Aide]]</f>
        <v>0.29041626331074538</v>
      </c>
      <c r="BH10" s="14">
        <f>+Dietary_Sample[[#Totals],[Below median Cook]]/Dietary_Sample[[#Totals],[Employee count Sample Data Cook]]</f>
        <v>0.38750000000000001</v>
      </c>
    </row>
    <row r="11" spans="1:65" x14ac:dyDescent="0.55000000000000004">
      <c r="A11" s="10">
        <v>203</v>
      </c>
      <c r="B11" s="10" t="s">
        <v>54</v>
      </c>
      <c r="C11" s="10">
        <f>VLOOKUP($A11,'SAS Data'!$1:$1048576,MATCH(C$1,'SAS Data'!$3:$3,0),FALSE)</f>
        <v>5</v>
      </c>
      <c r="D11" s="10">
        <f>VLOOKUP($A11,'SAS Data'!$1:$1048576,MATCH(D$1,'SAS Data'!$3:$3,0),FALSE)</f>
        <v>8</v>
      </c>
      <c r="E11" s="10">
        <f t="shared" si="1"/>
        <v>13</v>
      </c>
      <c r="F11" s="11">
        <f>VLOOKUP($A11,'SAS Data'!$1:$1048576,MATCH(F$1,'SAS Data'!$3:$3,0),FALSE)</f>
        <v>16.101133297355638</v>
      </c>
      <c r="G11" s="12">
        <f>+Dietary_Sample[[#This Row],[Diet Cph]]*Dietary_Sample[[#This Row],[Diet Hrsn]]</f>
        <v>298353.99999999994</v>
      </c>
      <c r="H1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254446.65621230402</v>
      </c>
      <c r="I11" s="17">
        <f>+Dietary_Sample[[#This Row],[Employee count Sample Data Aide]]/Dietary_Sample[[#This Row],[Total aide &amp; Cook]]*Dietary_Sample[[#This Row],[Diet Hrsn]]</f>
        <v>16213.75</v>
      </c>
      <c r="J11" s="13">
        <f>IF(Dietary_Sample[[#This Row],[Aide Hours]]=0,0,Dietary_Sample[[#This Row],[Aide cost estimator]]/Dietary_Sample[[#This Row],[Aide Hours]])</f>
        <v>15.693263816964244</v>
      </c>
      <c r="K1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43907.343787696016</v>
      </c>
      <c r="L11" s="17">
        <f>+Dietary_Sample[[#This Row],[Employee count Sample Data Cook]]/Dietary_Sample[[#This Row],[Total aide &amp; Cook]]*Dietary_Sample[[#This Row],[Diet Hrsn]]</f>
        <v>2316.25</v>
      </c>
      <c r="M11" s="13">
        <f>IF(Dietary_Sample[[#This Row],[Cook Hours]]=0,0,Dietary_Sample[[#This Row],[Cook cost estimator]]/Dietary_Sample[[#This Row],[Cook Hours]])</f>
        <v>18.956219660095421</v>
      </c>
      <c r="N11" s="12">
        <f>VLOOKUP(A11,'Estimator data 120523'!$A:$F,5,FALSE)</f>
        <v>298354</v>
      </c>
      <c r="O11" s="12">
        <f>VLOOKUP($A11,'SAS Data'!$1:$1048576,MATCH(O$1,'SAS Data'!$3:$3,0),FALSE)</f>
        <v>18530</v>
      </c>
      <c r="P11" s="13">
        <f>+Dietary_Sample[[#This Row],[Cost Estimator]]/Dietary_Sample[[#This Row],[Diet Hrsn]]</f>
        <v>16.101133297355638</v>
      </c>
      <c r="Q11" s="10">
        <f>COUNTIFS('Dietary Detail'!$R:$R,$A11,'Dietary Detail'!$U:$U,RIGHT(Q$1,4))</f>
        <v>14</v>
      </c>
      <c r="R11" s="10">
        <f>COUNTIFS('Dietary Detail'!$R:$R,$A11,'Dietary Detail'!$U:$U,RIGHT(R$1,4))</f>
        <v>2</v>
      </c>
      <c r="S11" s="10">
        <f>+Dietary_Sample[[#This Row],[Employee count Sample Data Aide]]+Dietary_Sample[[#This Row],[Employee count Sample Data Cook]]</f>
        <v>16</v>
      </c>
      <c r="T11" s="13">
        <v>15</v>
      </c>
      <c r="U11" s="13">
        <v>15.88</v>
      </c>
      <c r="V11" s="13">
        <v>15.15</v>
      </c>
      <c r="W11" s="13">
        <v>15.260000000000002</v>
      </c>
      <c r="X11" s="13">
        <v>17.95</v>
      </c>
      <c r="Y11" s="13">
        <v>18.649999999999999</v>
      </c>
      <c r="Z11" s="13">
        <v>18.299999999999997</v>
      </c>
      <c r="AA11" s="13">
        <v>18.299999999999997</v>
      </c>
      <c r="AB11" s="13">
        <f>IF(AND(Dietary_Sample[[#This Row],[Aide median]]=0,Dietary_Sample[[#This Row],[Cook median]]=0),0,IF(Dietary_Sample[[#This Row],[Aide median]]=0,1,Dietary_Sample[[#This Row],[Cook median]]/Dietary_Sample[[#This Row],[Aide median]]))</f>
        <v>1.2079207920792077</v>
      </c>
      <c r="AC11" s="13">
        <f>IF(AND(Dietary_Sample[[#This Row],[Aide average]]=0,Dietary_Sample[[#This Row],[Cook average]]=0),0,IF(Dietary_Sample[[#This Row],[Aide average]]=0,1,Dietary_Sample[[#This Row],[Cook average]]/Dietary_Sample[[#This Row],[Aide average]]))</f>
        <v>1.1992136304062906</v>
      </c>
      <c r="AD11" s="37">
        <f>COUNTIFS('Dietary Detail'!$R:$R,$A11,'Dietary Detail'!$T:$T,"&lt;"&amp;V11,'Dietary Detail'!$U:$U,RIGHT(AD$1,4))</f>
        <v>1</v>
      </c>
      <c r="AE11" s="37">
        <f>COUNTIFS('Dietary Detail'!$R:$R,$A11,'Dietary Detail'!$T:$T,"&lt;"&amp;W11,'Dietary Detail'!$U:$U,RIGHT(AE$1,4))</f>
        <v>9</v>
      </c>
      <c r="AF11" s="37">
        <f>COUNTIFS('Dietary Detail'!$R:$R,$A11,'Dietary Detail'!$T:$T,"&lt;"&amp;$BG$3,'Dietary Detail'!$U:$U,RIGHT(AF$1,4))</f>
        <v>14</v>
      </c>
      <c r="AG11" s="37">
        <f>COUNTIFS('Dietary Detail'!$R:$R,$A11,'Dietary Detail'!$T:$T,"&lt;"&amp;$BG$4,'Dietary Detail'!$U:$U,RIGHT(AG$1,4))</f>
        <v>14</v>
      </c>
      <c r="AH11" s="37">
        <f>COUNTIFS('Dietary Detail'!$R:$R,$A11,'Dietary Detail'!$T:$T,"&lt;"&amp;$BG$5,'Dietary Detail'!$U:$U,RIGHT(AH$1,4))</f>
        <v>14</v>
      </c>
      <c r="AI11" s="37">
        <f>COUNTIFS('Dietary Detail'!$R:$R,$A11,'Dietary Detail'!$T:$T,"&lt;"&amp;Z11,'Dietary Detail'!$U:$U,RIGHT(AI$1,4))</f>
        <v>1</v>
      </c>
      <c r="AJ11" s="37">
        <f>COUNTIFS('Dietary Detail'!$R:$R,$A11,'Dietary Detail'!$T:$T,"&lt;"&amp;AA11,'Dietary Detail'!$U:$U,RIGHT(AJ$1,4))</f>
        <v>1</v>
      </c>
      <c r="AK11" s="37">
        <f>COUNTIFS('Dietary Detail'!$R:$R,$A11,'Dietary Detail'!$T:$T,"&lt;"&amp;$BH$3,'Dietary Detail'!$U:$U,RIGHT(AK$1,4))</f>
        <v>2</v>
      </c>
      <c r="AL11" s="37">
        <f>COUNTIFS('Dietary Detail'!$R:$R,$A11,'Dietary Detail'!$T:$T,"&lt;"&amp;$BH$4,'Dietary Detail'!$U:$U,RIGHT(AL$1,4))</f>
        <v>2</v>
      </c>
      <c r="AM11" s="37">
        <f>COUNTIFS('Dietary Detail'!$R:$R,$A11,'Dietary Detail'!$T:$T,"&lt;"&amp;$BH$5,'Dietary Detail'!$U:$U,RIGHT(AM$1,4))</f>
        <v>2</v>
      </c>
      <c r="AN11" s="12">
        <f>+Dietary_Sample[[#This Row],[Aide median]]*Dietary_Sample[[#This Row],[Aide Hours]]</f>
        <v>245638.3125</v>
      </c>
      <c r="AO11" s="12">
        <f>+Dietary_Sample[[#This Row],[Aide average]]*Dietary_Sample[[#This Row],[Aide Hours]]</f>
        <v>247421.82500000001</v>
      </c>
      <c r="AP11" s="12">
        <f>+Dietary_Sample[[#This Row],[Cook median]]*Dietary_Sample[[#This Row],[Cook Hours]]</f>
        <v>42387.374999999993</v>
      </c>
      <c r="AQ11" s="12">
        <f>+Dietary_Sample[[#This Row],[Cook average]]*Dietary_Sample[[#This Row],[Cook Hours]]</f>
        <v>42387.374999999993</v>
      </c>
      <c r="AR11" s="12">
        <f>+Dietary_Sample[[#This Row],[Est average Aide wage cost]]+Dietary_Sample[[#This Row],[Est average Cook wage cost]]</f>
        <v>289809.2</v>
      </c>
      <c r="AS11" s="12">
        <f>+Dietary_Sample[[#This Row],[Est average Aide wage cost]]+Dietary_Sample[[#This Row],[Est average Cook wage cost]]</f>
        <v>289809.2</v>
      </c>
      <c r="AT11" s="14">
        <f>IF(Dietary_Sample[[#This Row],[Aide cost estimator]]=0,0,Dietary_Sample[[#This Row],[Est median Aide wage cost ]]/Dietary_Sample[[#This Row],[Aide cost estimator]])</f>
        <v>0.96538235619431934</v>
      </c>
      <c r="AU11" s="14">
        <f>IF(Dietary_Sample[[#This Row],[Aide cost estimator]]=0,0,Dietary_Sample[[#This Row],[Est average Aide wage cost]]/Dietary_Sample[[#This Row],[Aide cost estimator]])</f>
        <v>0.97239173303797455</v>
      </c>
      <c r="AV11" s="14">
        <f>IF(Dietary_Sample[[#This Row],[Cook cost estimator]]=0,0,Dietary_Sample[[#This Row],[Est median Cook wage cost]]/Dietary_Sample[[#This Row],[Cook cost estimator]])</f>
        <v>0.96538235619431945</v>
      </c>
      <c r="AW11" s="14">
        <f>IF(Dietary_Sample[[#This Row],[Cook cost estimator]]=0,0,Dietary_Sample[[#This Row],[Est average Cook wage cost]]/Dietary_Sample[[#This Row],[Cook cost estimator]])</f>
        <v>0.96538235619431945</v>
      </c>
      <c r="AX11" s="14">
        <f>IF(Dietary_Sample[[#This Row],[Aide median]]=0,0,Dietary_Sample[[#This Row],[Aide min]]/Dietary_Sample[[#This Row],[Aide median]])</f>
        <v>0.99009900990099009</v>
      </c>
      <c r="AY11" s="14">
        <f>IF(Dietary_Sample[[#This Row],[Aide median]]=0,0,Dietary_Sample[[#This Row],[Aide max]]/Dietary_Sample[[#This Row],[Aide median]])</f>
        <v>1.0481848184818483</v>
      </c>
      <c r="AZ11" s="14">
        <f>IF(Dietary_Sample[[#This Row],[Cook median]]=0,0,Dietary_Sample[[#This Row],[Cook min]]/Dietary_Sample[[#This Row],[Cook median]])</f>
        <v>0.9808743169398908</v>
      </c>
      <c r="BA11" s="14">
        <f>IF(Dietary_Sample[[#This Row],[Cook median]]=0,0,Dietary_Sample[[#This Row],[Cook max]]/Dietary_Sample[[#This Row],[Cook median]])</f>
        <v>1.0191256830601094</v>
      </c>
      <c r="BB11" s="12">
        <f>VLOOKUP(A11,Summary!$1:$1048576,2,FALSE)</f>
        <v>2</v>
      </c>
      <c r="BF11" s="15" t="s">
        <v>84</v>
      </c>
      <c r="BG11" s="14">
        <f>+Dietary_Sample[[#Totals],[Below Average Aide]]/Dietary_Sample[[#Totals],[Employee count Sample Data Aide]]</f>
        <v>0.63891577928363985</v>
      </c>
      <c r="BH11" s="14">
        <f>+Dietary_Sample[[#Totals],[Below Average Cook]]/Dietary_Sample[[#Totals],[Employee count Sample Data Cook]]</f>
        <v>0.49</v>
      </c>
    </row>
    <row r="12" spans="1:65" x14ac:dyDescent="0.55000000000000004">
      <c r="A12" s="10">
        <v>205</v>
      </c>
      <c r="B12" s="10" t="s">
        <v>54</v>
      </c>
      <c r="C12" s="10">
        <f>VLOOKUP($A12,'SAS Data'!$1:$1048576,MATCH(C$1,'SAS Data'!$3:$3,0),FALSE)</f>
        <v>6</v>
      </c>
      <c r="D12" s="10">
        <f>VLOOKUP($A12,'SAS Data'!$1:$1048576,MATCH(D$1,'SAS Data'!$3:$3,0),FALSE)</f>
        <v>9</v>
      </c>
      <c r="E12" s="10">
        <f t="shared" si="1"/>
        <v>15</v>
      </c>
      <c r="F12" s="11">
        <f>VLOOKUP($A12,'SAS Data'!$1:$1048576,MATCH(F$1,'SAS Data'!$3:$3,0),FALSE)</f>
        <v>19.182231814734877</v>
      </c>
      <c r="G12" s="12">
        <f>+Dietary_Sample[[#This Row],[Diet Cph]]*Dietary_Sample[[#This Row],[Diet Hrsn]]</f>
        <v>328841</v>
      </c>
      <c r="H1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210606.03370786516</v>
      </c>
      <c r="I12" s="17">
        <f>+Dietary_Sample[[#This Row],[Employee count Sample Data Aide]]/Dietary_Sample[[#This Row],[Total aide &amp; Cook]]*Dietary_Sample[[#This Row],[Diet Hrsn]]</f>
        <v>12245</v>
      </c>
      <c r="J12" s="13">
        <f>IF(Dietary_Sample[[#This Row],[Aide Hours]]=0,0,Dietary_Sample[[#This Row],[Aide cost estimator]]/Dietary_Sample[[#This Row],[Aide Hours]])</f>
        <v>17.199349424897115</v>
      </c>
      <c r="K1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118234.96629213484</v>
      </c>
      <c r="L12" s="17">
        <f>+Dietary_Sample[[#This Row],[Employee count Sample Data Cook]]/Dietary_Sample[[#This Row],[Total aide &amp; Cook]]*Dietary_Sample[[#This Row],[Diet Hrsn]]</f>
        <v>4898</v>
      </c>
      <c r="M12" s="13">
        <f>IF(Dietary_Sample[[#This Row],[Cook Hours]]=0,0,Dietary_Sample[[#This Row],[Cook cost estimator]]/Dietary_Sample[[#This Row],[Cook Hours]])</f>
        <v>24.139437789329286</v>
      </c>
      <c r="N12" s="12">
        <f>VLOOKUP(A12,'Estimator data 120523'!$A:$F,5,FALSE)</f>
        <v>328841</v>
      </c>
      <c r="O12" s="12">
        <f>VLOOKUP($A12,'SAS Data'!$1:$1048576,MATCH(O$1,'SAS Data'!$3:$3,0),FALSE)</f>
        <v>17143</v>
      </c>
      <c r="P12" s="13">
        <f>+Dietary_Sample[[#This Row],[Cost Estimator]]/Dietary_Sample[[#This Row],[Diet Hrsn]]</f>
        <v>19.182231814734877</v>
      </c>
      <c r="Q12" s="10">
        <f>COUNTIFS('Dietary Detail'!$R:$R,$A12,'Dietary Detail'!$U:$U,RIGHT(Q$1,4))</f>
        <v>10</v>
      </c>
      <c r="R12" s="10">
        <f>COUNTIFS('Dietary Detail'!$R:$R,$A12,'Dietary Detail'!$U:$U,RIGHT(R$1,4))</f>
        <v>4</v>
      </c>
      <c r="S12" s="10">
        <f>+Dietary_Sample[[#This Row],[Employee count Sample Data Aide]]+Dietary_Sample[[#This Row],[Employee count Sample Data Cook]]</f>
        <v>14</v>
      </c>
      <c r="T12" s="13">
        <v>12</v>
      </c>
      <c r="U12" s="13">
        <v>20</v>
      </c>
      <c r="V12" s="13">
        <v>14.25</v>
      </c>
      <c r="W12" s="13">
        <v>14.5</v>
      </c>
      <c r="X12" s="13">
        <v>20</v>
      </c>
      <c r="Y12" s="13">
        <v>20</v>
      </c>
      <c r="Z12" s="13">
        <v>20</v>
      </c>
      <c r="AA12" s="13">
        <v>20</v>
      </c>
      <c r="AB12" s="13">
        <f>IF(AND(Dietary_Sample[[#This Row],[Aide median]]=0,Dietary_Sample[[#This Row],[Cook median]]=0),0,IF(Dietary_Sample[[#This Row],[Aide median]]=0,1,Dietary_Sample[[#This Row],[Cook median]]/Dietary_Sample[[#This Row],[Aide median]]))</f>
        <v>1.4035087719298245</v>
      </c>
      <c r="AC12" s="13">
        <f>IF(AND(Dietary_Sample[[#This Row],[Aide average]]=0,Dietary_Sample[[#This Row],[Cook average]]=0),0,IF(Dietary_Sample[[#This Row],[Aide average]]=0,1,Dietary_Sample[[#This Row],[Cook average]]/Dietary_Sample[[#This Row],[Aide average]]))</f>
        <v>1.3793103448275863</v>
      </c>
      <c r="AD12" s="37">
        <f>COUNTIFS('Dietary Detail'!$R:$R,$A12,'Dietary Detail'!$T:$T,"&lt;"&amp;V12,'Dietary Detail'!$U:$U,RIGHT(AD$1,4))</f>
        <v>5</v>
      </c>
      <c r="AE12" s="37">
        <f>COUNTIFS('Dietary Detail'!$R:$R,$A12,'Dietary Detail'!$T:$T,"&lt;"&amp;W12,'Dietary Detail'!$U:$U,RIGHT(AE$1,4))</f>
        <v>5</v>
      </c>
      <c r="AF12" s="37">
        <f>COUNTIFS('Dietary Detail'!$R:$R,$A12,'Dietary Detail'!$T:$T,"&lt;"&amp;$BG$3,'Dietary Detail'!$U:$U,RIGHT(AF$1,4))</f>
        <v>10</v>
      </c>
      <c r="AG12" s="37">
        <f>COUNTIFS('Dietary Detail'!$R:$R,$A12,'Dietary Detail'!$T:$T,"&lt;"&amp;$BG$4,'Dietary Detail'!$U:$U,RIGHT(AG$1,4))</f>
        <v>8</v>
      </c>
      <c r="AH12" s="37">
        <f>COUNTIFS('Dietary Detail'!$R:$R,$A12,'Dietary Detail'!$T:$T,"&lt;"&amp;$BG$5,'Dietary Detail'!$U:$U,RIGHT(AH$1,4))</f>
        <v>9</v>
      </c>
      <c r="AI12" s="37">
        <f>COUNTIFS('Dietary Detail'!$R:$R,$A12,'Dietary Detail'!$T:$T,"&lt;"&amp;Z12,'Dietary Detail'!$U:$U,RIGHT(AI$1,4))</f>
        <v>0</v>
      </c>
      <c r="AJ12" s="37">
        <f>COUNTIFS('Dietary Detail'!$R:$R,$A12,'Dietary Detail'!$T:$T,"&lt;"&amp;AA12,'Dietary Detail'!$U:$U,RIGHT(AJ$1,4))</f>
        <v>0</v>
      </c>
      <c r="AK12" s="37">
        <f>COUNTIFS('Dietary Detail'!$R:$R,$A12,'Dietary Detail'!$T:$T,"&lt;"&amp;$BH$3,'Dietary Detail'!$U:$U,RIGHT(AK$1,4))</f>
        <v>4</v>
      </c>
      <c r="AL12" s="37">
        <f>COUNTIFS('Dietary Detail'!$R:$R,$A12,'Dietary Detail'!$T:$T,"&lt;"&amp;$BH$4,'Dietary Detail'!$U:$U,RIGHT(AL$1,4))</f>
        <v>0</v>
      </c>
      <c r="AM12" s="37">
        <f>COUNTIFS('Dietary Detail'!$R:$R,$A12,'Dietary Detail'!$T:$T,"&lt;"&amp;$BH$5,'Dietary Detail'!$U:$U,RIGHT(AM$1,4))</f>
        <v>0</v>
      </c>
      <c r="AN12" s="12">
        <f>+Dietary_Sample[[#This Row],[Aide median]]*Dietary_Sample[[#This Row],[Aide Hours]]</f>
        <v>174491.25</v>
      </c>
      <c r="AO12" s="12">
        <f>+Dietary_Sample[[#This Row],[Aide average]]*Dietary_Sample[[#This Row],[Aide Hours]]</f>
        <v>177552.5</v>
      </c>
      <c r="AP12" s="12">
        <f>+Dietary_Sample[[#This Row],[Cook median]]*Dietary_Sample[[#This Row],[Cook Hours]]</f>
        <v>97960</v>
      </c>
      <c r="AQ12" s="12">
        <f>+Dietary_Sample[[#This Row],[Cook average]]*Dietary_Sample[[#This Row],[Cook Hours]]</f>
        <v>97960</v>
      </c>
      <c r="AR12" s="12">
        <f>+Dietary_Sample[[#This Row],[Est average Aide wage cost]]+Dietary_Sample[[#This Row],[Est average Cook wage cost]]</f>
        <v>275512.5</v>
      </c>
      <c r="AS12" s="12">
        <f>+Dietary_Sample[[#This Row],[Est average Aide wage cost]]+Dietary_Sample[[#This Row],[Est average Cook wage cost]]</f>
        <v>275512.5</v>
      </c>
      <c r="AT12" s="14">
        <f>IF(Dietary_Sample[[#This Row],[Aide cost estimator]]=0,0,Dietary_Sample[[#This Row],[Est median Aide wage cost ]]/Dietary_Sample[[#This Row],[Aide cost estimator]])</f>
        <v>0.82851971013346881</v>
      </c>
      <c r="AU12" s="14">
        <f>IF(Dietary_Sample[[#This Row],[Aide cost estimator]]=0,0,Dietary_Sample[[#This Row],[Est average Aide wage cost]]/Dietary_Sample[[#This Row],[Aide cost estimator]])</f>
        <v>0.84305514364458223</v>
      </c>
      <c r="AV12" s="14">
        <f>IF(Dietary_Sample[[#This Row],[Cook cost estimator]]=0,0,Dietary_Sample[[#This Row],[Est median Cook wage cost]]/Dietary_Sample[[#This Row],[Cook cost estimator]])</f>
        <v>0.8285197101334687</v>
      </c>
      <c r="AW12" s="14">
        <f>IF(Dietary_Sample[[#This Row],[Cook cost estimator]]=0,0,Dietary_Sample[[#This Row],[Est average Cook wage cost]]/Dietary_Sample[[#This Row],[Cook cost estimator]])</f>
        <v>0.8285197101334687</v>
      </c>
      <c r="AX12" s="14">
        <f>IF(Dietary_Sample[[#This Row],[Aide median]]=0,0,Dietary_Sample[[#This Row],[Aide min]]/Dietary_Sample[[#This Row],[Aide median]])</f>
        <v>0.84210526315789469</v>
      </c>
      <c r="AY12" s="14">
        <f>IF(Dietary_Sample[[#This Row],[Aide median]]=0,0,Dietary_Sample[[#This Row],[Aide max]]/Dietary_Sample[[#This Row],[Aide median]])</f>
        <v>1.4035087719298245</v>
      </c>
      <c r="AZ12" s="14">
        <f>IF(Dietary_Sample[[#This Row],[Cook median]]=0,0,Dietary_Sample[[#This Row],[Cook min]]/Dietary_Sample[[#This Row],[Cook median]])</f>
        <v>1</v>
      </c>
      <c r="BA12" s="14">
        <f>IF(Dietary_Sample[[#This Row],[Cook median]]=0,0,Dietary_Sample[[#This Row],[Cook max]]/Dietary_Sample[[#This Row],[Cook median]])</f>
        <v>1</v>
      </c>
      <c r="BB12" s="12">
        <f>VLOOKUP(A12,Summary!$1:$1048576,2,FALSE)</f>
        <v>2</v>
      </c>
      <c r="BF12" s="15" t="s">
        <v>85</v>
      </c>
      <c r="BG12" s="14">
        <f>+Dietary_Sample[[#Totals],[Below Floor Aide]]/Dietary_Sample[[#Totals],[Employee count Sample Data Aide]]</f>
        <v>0.99806389157792841</v>
      </c>
      <c r="BH12" s="14">
        <f>+Dietary_Sample[[#Totals],[Below Floor Cook]]/Dietary_Sample[[#Totals],[Employee count Sample Data Cook]]</f>
        <v>0.96</v>
      </c>
    </row>
    <row r="13" spans="1:65" x14ac:dyDescent="0.55000000000000004">
      <c r="A13" s="10">
        <v>212</v>
      </c>
      <c r="B13" s="10" t="s">
        <v>54</v>
      </c>
      <c r="C13" s="10">
        <f>VLOOKUP($A13,'SAS Data'!$1:$1048576,MATCH(C$1,'SAS Data'!$3:$3,0),FALSE)</f>
        <v>6</v>
      </c>
      <c r="D13" s="10">
        <f>VLOOKUP($A13,'SAS Data'!$1:$1048576,MATCH(D$1,'SAS Data'!$3:$3,0),FALSE)</f>
        <v>6</v>
      </c>
      <c r="E13" s="10">
        <f t="shared" si="1"/>
        <v>12</v>
      </c>
      <c r="F13" s="11">
        <f>VLOOKUP($A13,'SAS Data'!$1:$1048576,MATCH(F$1,'SAS Data'!$3:$3,0),FALSE)</f>
        <v>17.46512939407231</v>
      </c>
      <c r="G13" s="12">
        <f>+Dietary_Sample[[#This Row],[Diet Cph]]*Dietary_Sample[[#This Row],[Diet Hrsn]]</f>
        <v>278726</v>
      </c>
      <c r="H1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169806.96257615319</v>
      </c>
      <c r="I13" s="17">
        <f>+Dietary_Sample[[#This Row],[Employee count Sample Data Aide]]/Dietary_Sample[[#This Row],[Total aide &amp; Cook]]*Dietary_Sample[[#This Row],[Diet Hrsn]]</f>
        <v>10639.333333333332</v>
      </c>
      <c r="J13" s="13">
        <f>IF(Dietary_Sample[[#This Row],[Aide Hours]]=0,0,Dietary_Sample[[#This Row],[Aide cost estimator]]/Dietary_Sample[[#This Row],[Aide Hours]])</f>
        <v>15.960301012859818</v>
      </c>
      <c r="K1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108919.03742384682</v>
      </c>
      <c r="L13" s="17">
        <f>+Dietary_Sample[[#This Row],[Employee count Sample Data Cook]]/Dietary_Sample[[#This Row],[Total aide &amp; Cook]]*Dietary_Sample[[#This Row],[Diet Hrsn]]</f>
        <v>5319.6666666666661</v>
      </c>
      <c r="M13" s="13">
        <f>IF(Dietary_Sample[[#This Row],[Cook Hours]]=0,0,Dietary_Sample[[#This Row],[Cook cost estimator]]/Dietary_Sample[[#This Row],[Cook Hours]])</f>
        <v>20.474786156497306</v>
      </c>
      <c r="N13" s="12">
        <f>VLOOKUP(A13,'Estimator data 120523'!$A:$F,5,FALSE)</f>
        <v>278726</v>
      </c>
      <c r="O13" s="12">
        <f>VLOOKUP($A13,'SAS Data'!$1:$1048576,MATCH(O$1,'SAS Data'!$3:$3,0),FALSE)</f>
        <v>15959</v>
      </c>
      <c r="P13" s="13">
        <f>+Dietary_Sample[[#This Row],[Cost Estimator]]/Dietary_Sample[[#This Row],[Diet Hrsn]]</f>
        <v>17.46512939407231</v>
      </c>
      <c r="Q13" s="10">
        <f>COUNTIFS('Dietary Detail'!$R:$R,$A13,'Dietary Detail'!$U:$U,RIGHT(Q$1,4))</f>
        <v>8</v>
      </c>
      <c r="R13" s="10">
        <f>COUNTIFS('Dietary Detail'!$R:$R,$A13,'Dietary Detail'!$U:$U,RIGHT(R$1,4))</f>
        <v>4</v>
      </c>
      <c r="S13" s="10">
        <f>+Dietary_Sample[[#This Row],[Employee count Sample Data Aide]]+Dietary_Sample[[#This Row],[Employee count Sample Data Cook]]</f>
        <v>12</v>
      </c>
      <c r="T13" s="13">
        <v>14</v>
      </c>
      <c r="U13" s="13">
        <v>15.48</v>
      </c>
      <c r="V13" s="13">
        <v>14</v>
      </c>
      <c r="W13" s="13">
        <v>14.238750000000001</v>
      </c>
      <c r="X13" s="13">
        <v>17.5</v>
      </c>
      <c r="Y13" s="13">
        <v>18.64</v>
      </c>
      <c r="Z13" s="13">
        <v>17.96</v>
      </c>
      <c r="AA13" s="13">
        <v>18.015000000000001</v>
      </c>
      <c r="AB13" s="13">
        <f>IF(AND(Dietary_Sample[[#This Row],[Aide median]]=0,Dietary_Sample[[#This Row],[Cook median]]=0),0,IF(Dietary_Sample[[#This Row],[Aide median]]=0,1,Dietary_Sample[[#This Row],[Cook median]]/Dietary_Sample[[#This Row],[Aide median]]))</f>
        <v>1.2828571428571429</v>
      </c>
      <c r="AC13" s="13">
        <f>IF(AND(Dietary_Sample[[#This Row],[Aide average]]=0,Dietary_Sample[[#This Row],[Cook average]]=0),0,IF(Dietary_Sample[[#This Row],[Aide average]]=0,1,Dietary_Sample[[#This Row],[Cook average]]/Dietary_Sample[[#This Row],[Aide average]]))</f>
        <v>1.2652093758230181</v>
      </c>
      <c r="AD13" s="37">
        <f>COUNTIFS('Dietary Detail'!$R:$R,$A13,'Dietary Detail'!$T:$T,"&lt;"&amp;V13,'Dietary Detail'!$U:$U,RIGHT(AD$1,4))</f>
        <v>0</v>
      </c>
      <c r="AE13" s="37">
        <f>COUNTIFS('Dietary Detail'!$R:$R,$A13,'Dietary Detail'!$T:$T,"&lt;"&amp;W13,'Dietary Detail'!$U:$U,RIGHT(AE$1,4))</f>
        <v>6</v>
      </c>
      <c r="AF13" s="37">
        <f>COUNTIFS('Dietary Detail'!$R:$R,$A13,'Dietary Detail'!$T:$T,"&lt;"&amp;$BG$3,'Dietary Detail'!$U:$U,RIGHT(AF$1,4))</f>
        <v>8</v>
      </c>
      <c r="AG13" s="37">
        <f>COUNTIFS('Dietary Detail'!$R:$R,$A13,'Dietary Detail'!$T:$T,"&lt;"&amp;$BG$4,'Dietary Detail'!$U:$U,RIGHT(AG$1,4))</f>
        <v>8</v>
      </c>
      <c r="AH13" s="37">
        <f>COUNTIFS('Dietary Detail'!$R:$R,$A13,'Dietary Detail'!$T:$T,"&lt;"&amp;$BG$5,'Dietary Detail'!$U:$U,RIGHT(AH$1,4))</f>
        <v>8</v>
      </c>
      <c r="AI13" s="37">
        <f>COUNTIFS('Dietary Detail'!$R:$R,$A13,'Dietary Detail'!$T:$T,"&lt;"&amp;Z13,'Dietary Detail'!$U:$U,RIGHT(AI$1,4))</f>
        <v>2</v>
      </c>
      <c r="AJ13" s="37">
        <f>COUNTIFS('Dietary Detail'!$R:$R,$A13,'Dietary Detail'!$T:$T,"&lt;"&amp;AA13,'Dietary Detail'!$U:$U,RIGHT(AJ$1,4))</f>
        <v>2</v>
      </c>
      <c r="AK13" s="37">
        <f>COUNTIFS('Dietary Detail'!$R:$R,$A13,'Dietary Detail'!$T:$T,"&lt;"&amp;$BH$3,'Dietary Detail'!$U:$U,RIGHT(AK$1,4))</f>
        <v>4</v>
      </c>
      <c r="AL13" s="37">
        <f>COUNTIFS('Dietary Detail'!$R:$R,$A13,'Dietary Detail'!$T:$T,"&lt;"&amp;$BH$4,'Dietary Detail'!$U:$U,RIGHT(AL$1,4))</f>
        <v>4</v>
      </c>
      <c r="AM13" s="37">
        <f>COUNTIFS('Dietary Detail'!$R:$R,$A13,'Dietary Detail'!$T:$T,"&lt;"&amp;$BH$5,'Dietary Detail'!$U:$U,RIGHT(AM$1,4))</f>
        <v>4</v>
      </c>
      <c r="AN13" s="12">
        <f>+Dietary_Sample[[#This Row],[Aide median]]*Dietary_Sample[[#This Row],[Aide Hours]]</f>
        <v>148950.66666666666</v>
      </c>
      <c r="AO13" s="12">
        <f>+Dietary_Sample[[#This Row],[Aide average]]*Dietary_Sample[[#This Row],[Aide Hours]]</f>
        <v>151490.8075</v>
      </c>
      <c r="AP13" s="12">
        <f>+Dietary_Sample[[#This Row],[Cook median]]*Dietary_Sample[[#This Row],[Cook Hours]]</f>
        <v>95541.213333333333</v>
      </c>
      <c r="AQ13" s="12">
        <f>+Dietary_Sample[[#This Row],[Cook average]]*Dietary_Sample[[#This Row],[Cook Hours]]</f>
        <v>95833.794999999998</v>
      </c>
      <c r="AR13" s="12">
        <f>+Dietary_Sample[[#This Row],[Est average Aide wage cost]]+Dietary_Sample[[#This Row],[Est average Cook wage cost]]</f>
        <v>247324.60249999998</v>
      </c>
      <c r="AS13" s="12">
        <f>+Dietary_Sample[[#This Row],[Est average Aide wage cost]]+Dietary_Sample[[#This Row],[Est average Cook wage cost]]</f>
        <v>247324.60249999998</v>
      </c>
      <c r="AT13" s="14">
        <f>IF(Dietary_Sample[[#This Row],[Aide cost estimator]]=0,0,Dietary_Sample[[#This Row],[Est median Aide wage cost ]]/Dietary_Sample[[#This Row],[Aide cost estimator]])</f>
        <v>0.87717643850950378</v>
      </c>
      <c r="AU13" s="14">
        <f>IF(Dietary_Sample[[#This Row],[Aide cost estimator]]=0,0,Dietary_Sample[[#This Row],[Est average Aide wage cost]]/Dietary_Sample[[#This Row],[Aide cost estimator]])</f>
        <v>0.89213542955908554</v>
      </c>
      <c r="AV13" s="14">
        <f>IF(Dietary_Sample[[#This Row],[Cook cost estimator]]=0,0,Dietary_Sample[[#This Row],[Est median Cook wage cost]]/Dietary_Sample[[#This Row],[Cook cost estimator]])</f>
        <v>0.877176438509504</v>
      </c>
      <c r="AW13" s="14">
        <f>IF(Dietary_Sample[[#This Row],[Cook cost estimator]]=0,0,Dietary_Sample[[#This Row],[Est average Cook wage cost]]/Dietary_Sample[[#This Row],[Cook cost estimator]])</f>
        <v>0.87986266925104195</v>
      </c>
      <c r="AX13" s="14">
        <f>IF(Dietary_Sample[[#This Row],[Aide median]]=0,0,Dietary_Sample[[#This Row],[Aide min]]/Dietary_Sample[[#This Row],[Aide median]])</f>
        <v>1</v>
      </c>
      <c r="AY13" s="14">
        <f>IF(Dietary_Sample[[#This Row],[Aide median]]=0,0,Dietary_Sample[[#This Row],[Aide max]]/Dietary_Sample[[#This Row],[Aide median]])</f>
        <v>1.1057142857142856</v>
      </c>
      <c r="AZ13" s="14">
        <f>IF(Dietary_Sample[[#This Row],[Cook median]]=0,0,Dietary_Sample[[#This Row],[Cook min]]/Dietary_Sample[[#This Row],[Cook median]])</f>
        <v>0.97438752783964355</v>
      </c>
      <c r="BA13" s="14">
        <f>IF(Dietary_Sample[[#This Row],[Cook median]]=0,0,Dietary_Sample[[#This Row],[Cook max]]/Dietary_Sample[[#This Row],[Cook median]])</f>
        <v>1.0378619153674833</v>
      </c>
      <c r="BB13" s="12">
        <f>VLOOKUP(A13,Summary!$1:$1048576,2,FALSE)</f>
        <v>3</v>
      </c>
      <c r="BF13" s="15" t="s">
        <v>86</v>
      </c>
      <c r="BG13" s="14">
        <f>+Dietary_Sample[[#Totals],[Below weighted average median wage Aide]]/Dietary_Sample[[#Totals],[Employee count Sample Data Aide]]</f>
        <v>0.51597289448209105</v>
      </c>
      <c r="BH13" s="14">
        <f>+Dietary_Sample[[#Totals],[Below weighted average median wage Cook]]/Dietary_Sample[[#Totals],[Employee count Sample Data Cook]]</f>
        <v>0.51749999999999996</v>
      </c>
    </row>
    <row r="14" spans="1:65" x14ac:dyDescent="0.55000000000000004">
      <c r="A14" s="10">
        <v>218</v>
      </c>
      <c r="B14" s="10" t="s">
        <v>54</v>
      </c>
      <c r="C14" s="10">
        <f>VLOOKUP($A14,'SAS Data'!$1:$1048576,MATCH(C$1,'SAS Data'!$3:$3,0),FALSE)</f>
        <v>10</v>
      </c>
      <c r="D14" s="10">
        <f>VLOOKUP($A14,'SAS Data'!$1:$1048576,MATCH(D$1,'SAS Data'!$3:$3,0),FALSE)</f>
        <v>3</v>
      </c>
      <c r="E14" s="10">
        <f t="shared" si="1"/>
        <v>13</v>
      </c>
      <c r="F14" s="11">
        <f>VLOOKUP($A14,'SAS Data'!$1:$1048576,MATCH(F$1,'SAS Data'!$3:$3,0),FALSE)</f>
        <v>22.311984729724241</v>
      </c>
      <c r="G14" s="12">
        <f>+Dietary_Sample[[#This Row],[Diet Cph]]*Dietary_Sample[[#This Row],[Diet Hrsn]]</f>
        <v>549388</v>
      </c>
      <c r="H1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469307.71525423729</v>
      </c>
      <c r="I14" s="17">
        <f>+Dietary_Sample[[#This Row],[Employee count Sample Data Aide]]/Dietary_Sample[[#This Row],[Total aide &amp; Cook]]*Dietary_Sample[[#This Row],[Diet Hrsn]]</f>
        <v>21545.125</v>
      </c>
      <c r="J14" s="13">
        <f>IF(Dietary_Sample[[#This Row],[Aide Hours]]=0,0,Dietary_Sample[[#This Row],[Aide cost estimator]]/Dietary_Sample[[#This Row],[Aide Hours]])</f>
        <v>21.782547803934175</v>
      </c>
      <c r="K1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80080.284745762721</v>
      </c>
      <c r="L14" s="17">
        <f>+Dietary_Sample[[#This Row],[Employee count Sample Data Cook]]/Dietary_Sample[[#This Row],[Total aide &amp; Cook]]*Dietary_Sample[[#This Row],[Diet Hrsn]]</f>
        <v>3077.875</v>
      </c>
      <c r="M14" s="13">
        <f>IF(Dietary_Sample[[#This Row],[Cook Hours]]=0,0,Dietary_Sample[[#This Row],[Cook cost estimator]]/Dietary_Sample[[#This Row],[Cook Hours]])</f>
        <v>26.01804321025471</v>
      </c>
      <c r="N14" s="12">
        <f>VLOOKUP(A14,'Estimator data 120523'!$A:$F,5,FALSE)</f>
        <v>549388</v>
      </c>
      <c r="O14" s="12">
        <f>VLOOKUP($A14,'SAS Data'!$1:$1048576,MATCH(O$1,'SAS Data'!$3:$3,0),FALSE)</f>
        <v>24623</v>
      </c>
      <c r="P14" s="13">
        <f>+Dietary_Sample[[#This Row],[Cost Estimator]]/Dietary_Sample[[#This Row],[Diet Hrsn]]</f>
        <v>22.311984729724241</v>
      </c>
      <c r="Q14" s="10">
        <f>COUNTIFS('Dietary Detail'!$R:$R,$A14,'Dietary Detail'!$U:$U,RIGHT(Q$1,4))</f>
        <v>7</v>
      </c>
      <c r="R14" s="10">
        <f>COUNTIFS('Dietary Detail'!$R:$R,$A14,'Dietary Detail'!$U:$U,RIGHT(R$1,4))</f>
        <v>1</v>
      </c>
      <c r="S14" s="10">
        <f>+Dietary_Sample[[#This Row],[Employee count Sample Data Aide]]+Dietary_Sample[[#This Row],[Employee count Sample Data Cook]]</f>
        <v>8</v>
      </c>
      <c r="T14" s="13">
        <v>18</v>
      </c>
      <c r="U14" s="13">
        <v>22</v>
      </c>
      <c r="V14" s="13">
        <v>18</v>
      </c>
      <c r="W14" s="13">
        <v>19.071428571428573</v>
      </c>
      <c r="X14" s="13">
        <v>21.5</v>
      </c>
      <c r="Y14" s="13">
        <v>21.5</v>
      </c>
      <c r="Z14" s="13">
        <v>21.5</v>
      </c>
      <c r="AA14" s="13">
        <v>21.5</v>
      </c>
      <c r="AB14" s="13">
        <f>IF(AND(Dietary_Sample[[#This Row],[Aide median]]=0,Dietary_Sample[[#This Row],[Cook median]]=0),0,IF(Dietary_Sample[[#This Row],[Aide median]]=0,1,Dietary_Sample[[#This Row],[Cook median]]/Dietary_Sample[[#This Row],[Aide median]]))</f>
        <v>1.1944444444444444</v>
      </c>
      <c r="AC14" s="13">
        <f>IF(AND(Dietary_Sample[[#This Row],[Aide average]]=0,Dietary_Sample[[#This Row],[Cook average]]=0),0,IF(Dietary_Sample[[#This Row],[Aide average]]=0,1,Dietary_Sample[[#This Row],[Cook average]]/Dietary_Sample[[#This Row],[Aide average]]))</f>
        <v>1.1273408239700373</v>
      </c>
      <c r="AD14" s="37">
        <f>COUNTIFS('Dietary Detail'!$R:$R,$A14,'Dietary Detail'!$T:$T,"&lt;"&amp;V14,'Dietary Detail'!$U:$U,RIGHT(AD$1,4))</f>
        <v>0</v>
      </c>
      <c r="AE14" s="37">
        <f>COUNTIFS('Dietary Detail'!$R:$R,$A14,'Dietary Detail'!$T:$T,"&lt;"&amp;W14,'Dietary Detail'!$U:$U,RIGHT(AE$1,4))</f>
        <v>5</v>
      </c>
      <c r="AF14" s="37">
        <f>COUNTIFS('Dietary Detail'!$R:$R,$A14,'Dietary Detail'!$T:$T,"&lt;"&amp;$BG$3,'Dietary Detail'!$U:$U,RIGHT(AF$1,4))</f>
        <v>7</v>
      </c>
      <c r="AG14" s="37">
        <f>COUNTIFS('Dietary Detail'!$R:$R,$A14,'Dietary Detail'!$T:$T,"&lt;"&amp;$BG$4,'Dietary Detail'!$U:$U,RIGHT(AG$1,4))</f>
        <v>0</v>
      </c>
      <c r="AH14" s="37">
        <f>COUNTIFS('Dietary Detail'!$R:$R,$A14,'Dietary Detail'!$T:$T,"&lt;"&amp;$BG$5,'Dietary Detail'!$U:$U,RIGHT(AH$1,4))</f>
        <v>0</v>
      </c>
      <c r="AI14" s="37">
        <f>COUNTIFS('Dietary Detail'!$R:$R,$A14,'Dietary Detail'!$T:$T,"&lt;"&amp;Z14,'Dietary Detail'!$U:$U,RIGHT(AI$1,4))</f>
        <v>0</v>
      </c>
      <c r="AJ14" s="37">
        <f>COUNTIFS('Dietary Detail'!$R:$R,$A14,'Dietary Detail'!$T:$T,"&lt;"&amp;AA14,'Dietary Detail'!$U:$U,RIGHT(AJ$1,4))</f>
        <v>0</v>
      </c>
      <c r="AK14" s="37">
        <f>COUNTIFS('Dietary Detail'!$R:$R,$A14,'Dietary Detail'!$T:$T,"&lt;"&amp;$BH$3,'Dietary Detail'!$U:$U,RIGHT(AK$1,4))</f>
        <v>1</v>
      </c>
      <c r="AL14" s="37">
        <f>COUNTIFS('Dietary Detail'!$R:$R,$A14,'Dietary Detail'!$T:$T,"&lt;"&amp;$BH$4,'Dietary Detail'!$U:$U,RIGHT(AL$1,4))</f>
        <v>0</v>
      </c>
      <c r="AM14" s="37">
        <f>COUNTIFS('Dietary Detail'!$R:$R,$A14,'Dietary Detail'!$T:$T,"&lt;"&amp;$BH$5,'Dietary Detail'!$U:$U,RIGHT(AM$1,4))</f>
        <v>0</v>
      </c>
      <c r="AN14" s="12">
        <f>+Dietary_Sample[[#This Row],[Aide median]]*Dietary_Sample[[#This Row],[Aide Hours]]</f>
        <v>387812.25</v>
      </c>
      <c r="AO14" s="12">
        <f>+Dietary_Sample[[#This Row],[Aide average]]*Dietary_Sample[[#This Row],[Aide Hours]]</f>
        <v>410896.31250000006</v>
      </c>
      <c r="AP14" s="12">
        <f>+Dietary_Sample[[#This Row],[Cook median]]*Dietary_Sample[[#This Row],[Cook Hours]]</f>
        <v>66174.3125</v>
      </c>
      <c r="AQ14" s="12">
        <f>+Dietary_Sample[[#This Row],[Cook average]]*Dietary_Sample[[#This Row],[Cook Hours]]</f>
        <v>66174.3125</v>
      </c>
      <c r="AR14" s="12">
        <f>+Dietary_Sample[[#This Row],[Est average Aide wage cost]]+Dietary_Sample[[#This Row],[Est average Cook wage cost]]</f>
        <v>477070.62500000006</v>
      </c>
      <c r="AS14" s="12">
        <f>+Dietary_Sample[[#This Row],[Est average Aide wage cost]]+Dietary_Sample[[#This Row],[Est average Cook wage cost]]</f>
        <v>477070.62500000006</v>
      </c>
      <c r="AT14" s="14">
        <f>IF(Dietary_Sample[[#This Row],[Aide cost estimator]]=0,0,Dietary_Sample[[#This Row],[Est median Aide wage cost ]]/Dietary_Sample[[#This Row],[Aide cost estimator]])</f>
        <v>0.82634961539021601</v>
      </c>
      <c r="AU14" s="14">
        <f>IF(Dietary_Sample[[#This Row],[Aide cost estimator]]=0,0,Dietary_Sample[[#This Row],[Est average Aide wage cost]]/Dietary_Sample[[#This Row],[Aide cost estimator]])</f>
        <v>0.87553709249677658</v>
      </c>
      <c r="AV14" s="14">
        <f>IF(Dietary_Sample[[#This Row],[Cook cost estimator]]=0,0,Dietary_Sample[[#This Row],[Est median Cook wage cost]]/Dietary_Sample[[#This Row],[Cook cost estimator]])</f>
        <v>0.8263496153902159</v>
      </c>
      <c r="AW14" s="14">
        <f>IF(Dietary_Sample[[#This Row],[Cook cost estimator]]=0,0,Dietary_Sample[[#This Row],[Est average Cook wage cost]]/Dietary_Sample[[#This Row],[Cook cost estimator]])</f>
        <v>0.8263496153902159</v>
      </c>
      <c r="AX14" s="14">
        <f>IF(Dietary_Sample[[#This Row],[Aide median]]=0,0,Dietary_Sample[[#This Row],[Aide min]]/Dietary_Sample[[#This Row],[Aide median]])</f>
        <v>1</v>
      </c>
      <c r="AY14" s="14">
        <f>IF(Dietary_Sample[[#This Row],[Aide median]]=0,0,Dietary_Sample[[#This Row],[Aide max]]/Dietary_Sample[[#This Row],[Aide median]])</f>
        <v>1.2222222222222223</v>
      </c>
      <c r="AZ14" s="14">
        <f>IF(Dietary_Sample[[#This Row],[Cook median]]=0,0,Dietary_Sample[[#This Row],[Cook min]]/Dietary_Sample[[#This Row],[Cook median]])</f>
        <v>1</v>
      </c>
      <c r="BA14" s="14">
        <f>IF(Dietary_Sample[[#This Row],[Cook median]]=0,0,Dietary_Sample[[#This Row],[Cook max]]/Dietary_Sample[[#This Row],[Cook median]])</f>
        <v>1</v>
      </c>
      <c r="BB14" s="12">
        <f>VLOOKUP(A14,Summary!$1:$1048576,2,FALSE)</f>
        <v>2</v>
      </c>
      <c r="BF14" s="15" t="s">
        <v>87</v>
      </c>
      <c r="BG14" s="14">
        <f>+Dietary_Sample[[#Totals],[Below weighted average, average wage Aide]]/Dietary_Sample[[#Totals],[Employee count Sample Data Aide]]</f>
        <v>0.63794772507260411</v>
      </c>
      <c r="BH14" s="14">
        <f>+Dietary_Sample[[#Totals],[Below weighted average, average wage Cook]]/Dietary_Sample[[#Totals],[Employee count Sample Data Cook]]</f>
        <v>0.51749999999999996</v>
      </c>
      <c r="BM14" s="10">
        <v>58</v>
      </c>
    </row>
    <row r="15" spans="1:65" x14ac:dyDescent="0.55000000000000004">
      <c r="A15" s="10">
        <v>222</v>
      </c>
      <c r="B15" s="10" t="s">
        <v>54</v>
      </c>
      <c r="C15" s="10">
        <f>VLOOKUP($A15,'SAS Data'!$1:$1048576,MATCH(C$1,'SAS Data'!$3:$3,0),FALSE)</f>
        <v>2</v>
      </c>
      <c r="D15" s="10">
        <f>VLOOKUP($A15,'SAS Data'!$1:$1048576,MATCH(D$1,'SAS Data'!$3:$3,0),FALSE)</f>
        <v>4</v>
      </c>
      <c r="E15" s="10">
        <f t="shared" si="1"/>
        <v>6</v>
      </c>
      <c r="F15" s="11">
        <f>VLOOKUP($A15,'SAS Data'!$1:$1048576,MATCH(F$1,'SAS Data'!$3:$3,0),FALSE)</f>
        <v>17.889870304114492</v>
      </c>
      <c r="G15" s="12">
        <f>+Dietary_Sample[[#This Row],[Diet Cph]]*Dietary_Sample[[#This Row],[Diet Hrsn]]</f>
        <v>160007.00000000003</v>
      </c>
      <c r="H1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32001.4</v>
      </c>
      <c r="I15" s="17">
        <f>+Dietary_Sample[[#This Row],[Employee count Sample Data Aide]]/Dietary_Sample[[#This Row],[Total aide &amp; Cook]]*Dietary_Sample[[#This Row],[Diet Hrsn]]</f>
        <v>1788.8000000000002</v>
      </c>
      <c r="J15" s="13">
        <f>IF(Dietary_Sample[[#This Row],[Aide Hours]]=0,0,Dietary_Sample[[#This Row],[Aide cost estimator]]/Dietary_Sample[[#This Row],[Aide Hours]])</f>
        <v>17.889870304114488</v>
      </c>
      <c r="K1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128005.6</v>
      </c>
      <c r="L15" s="17">
        <f>+Dietary_Sample[[#This Row],[Employee count Sample Data Cook]]/Dietary_Sample[[#This Row],[Total aide &amp; Cook]]*Dietary_Sample[[#This Row],[Diet Hrsn]]</f>
        <v>7155.2000000000007</v>
      </c>
      <c r="M15" s="13">
        <f>IF(Dietary_Sample[[#This Row],[Cook Hours]]=0,0,Dietary_Sample[[#This Row],[Cook cost estimator]]/Dietary_Sample[[#This Row],[Cook Hours]])</f>
        <v>17.889870304114488</v>
      </c>
      <c r="N15" s="12">
        <f>VLOOKUP(A15,'Estimator data 120523'!$A:$F,5,FALSE)</f>
        <v>160007</v>
      </c>
      <c r="O15" s="12">
        <f>VLOOKUP($A15,'SAS Data'!$1:$1048576,MATCH(O$1,'SAS Data'!$3:$3,0),FALSE)</f>
        <v>8944</v>
      </c>
      <c r="P15" s="13">
        <f>+Dietary_Sample[[#This Row],[Cost Estimator]]/Dietary_Sample[[#This Row],[Diet Hrsn]]</f>
        <v>17.889870304114488</v>
      </c>
      <c r="Q15" s="10">
        <f>COUNTIFS('Dietary Detail'!$R:$R,$A15,'Dietary Detail'!$U:$U,RIGHT(Q$1,4))</f>
        <v>1</v>
      </c>
      <c r="R15" s="10">
        <f>COUNTIFS('Dietary Detail'!$R:$R,$A15,'Dietary Detail'!$U:$U,RIGHT(R$1,4))</f>
        <v>4</v>
      </c>
      <c r="S15" s="10">
        <f>+Dietary_Sample[[#This Row],[Employee count Sample Data Aide]]+Dietary_Sample[[#This Row],[Employee count Sample Data Cook]]</f>
        <v>5</v>
      </c>
      <c r="T15" s="13">
        <v>0</v>
      </c>
      <c r="U15" s="13">
        <v>0</v>
      </c>
      <c r="V15" s="13">
        <v>0</v>
      </c>
      <c r="W15" s="13">
        <v>0</v>
      </c>
      <c r="X15" s="13">
        <v>14.74</v>
      </c>
      <c r="Y15" s="13">
        <v>17.02</v>
      </c>
      <c r="Z15" s="13">
        <v>15.690000000000001</v>
      </c>
      <c r="AA15" s="13">
        <v>15.785</v>
      </c>
      <c r="AB15" s="13">
        <f>IF(AND(Dietary_Sample[[#This Row],[Aide median]]=0,Dietary_Sample[[#This Row],[Cook median]]=0),0,IF(Dietary_Sample[[#This Row],[Aide median]]=0,1,Dietary_Sample[[#This Row],[Cook median]]/Dietary_Sample[[#This Row],[Aide median]]))</f>
        <v>1</v>
      </c>
      <c r="AC15" s="13">
        <f>IF(AND(Dietary_Sample[[#This Row],[Aide average]]=0,Dietary_Sample[[#This Row],[Cook average]]=0),0,IF(Dietary_Sample[[#This Row],[Aide average]]=0,1,Dietary_Sample[[#This Row],[Cook average]]/Dietary_Sample[[#This Row],[Aide average]]))</f>
        <v>1</v>
      </c>
      <c r="AD15" s="37">
        <f>COUNTIFS('Dietary Detail'!$R:$R,$A15,'Dietary Detail'!$T:$T,"&lt;"&amp;V15,'Dietary Detail'!$U:$U,RIGHT(AD$1,4))</f>
        <v>0</v>
      </c>
      <c r="AE15" s="37">
        <f>COUNTIFS('Dietary Detail'!$R:$R,$A15,'Dietary Detail'!$T:$T,"&lt;"&amp;W15,'Dietary Detail'!$U:$U,RIGHT(AE$1,4))</f>
        <v>0</v>
      </c>
      <c r="AF15" s="37">
        <f>COUNTIFS('Dietary Detail'!$R:$R,$A15,'Dietary Detail'!$T:$T,"&lt;"&amp;$BG$3,'Dietary Detail'!$U:$U,RIGHT(AF$1,4))</f>
        <v>1</v>
      </c>
      <c r="AG15" s="37">
        <f>COUNTIFS('Dietary Detail'!$R:$R,$A15,'Dietary Detail'!$T:$T,"&lt;"&amp;$BG$4,'Dietary Detail'!$U:$U,RIGHT(AG$1,4))</f>
        <v>0</v>
      </c>
      <c r="AH15" s="37">
        <f>COUNTIFS('Dietary Detail'!$R:$R,$A15,'Dietary Detail'!$T:$T,"&lt;"&amp;$BG$5,'Dietary Detail'!$U:$U,RIGHT(AH$1,4))</f>
        <v>0</v>
      </c>
      <c r="AI15" s="37">
        <f>COUNTIFS('Dietary Detail'!$R:$R,$A15,'Dietary Detail'!$T:$T,"&lt;"&amp;Z15,'Dietary Detail'!$U:$U,RIGHT(AI$1,4))</f>
        <v>2</v>
      </c>
      <c r="AJ15" s="37">
        <f>COUNTIFS('Dietary Detail'!$R:$R,$A15,'Dietary Detail'!$T:$T,"&lt;"&amp;AA15,'Dietary Detail'!$U:$U,RIGHT(AJ$1,4))</f>
        <v>2</v>
      </c>
      <c r="AK15" s="37">
        <f>COUNTIFS('Dietary Detail'!$R:$R,$A15,'Dietary Detail'!$T:$T,"&lt;"&amp;$BH$3,'Dietary Detail'!$U:$U,RIGHT(AK$1,4))</f>
        <v>4</v>
      </c>
      <c r="AL15" s="37">
        <f>COUNTIFS('Dietary Detail'!$R:$R,$A15,'Dietary Detail'!$T:$T,"&lt;"&amp;$BH$4,'Dietary Detail'!$U:$U,RIGHT(AL$1,4))</f>
        <v>4</v>
      </c>
      <c r="AM15" s="37">
        <f>COUNTIFS('Dietary Detail'!$R:$R,$A15,'Dietary Detail'!$T:$T,"&lt;"&amp;$BH$5,'Dietary Detail'!$U:$U,RIGHT(AM$1,4))</f>
        <v>4</v>
      </c>
      <c r="AN15" s="12">
        <f>+Dietary_Sample[[#This Row],[Aide median]]*Dietary_Sample[[#This Row],[Aide Hours]]</f>
        <v>0</v>
      </c>
      <c r="AO15" s="12">
        <f>+Dietary_Sample[[#This Row],[Aide average]]*Dietary_Sample[[#This Row],[Aide Hours]]</f>
        <v>0</v>
      </c>
      <c r="AP15" s="12">
        <f>+Dietary_Sample[[#This Row],[Cook median]]*Dietary_Sample[[#This Row],[Cook Hours]]</f>
        <v>112265.08800000002</v>
      </c>
      <c r="AQ15" s="12">
        <f>+Dietary_Sample[[#This Row],[Cook average]]*Dietary_Sample[[#This Row],[Cook Hours]]</f>
        <v>112944.83200000001</v>
      </c>
      <c r="AR15" s="12">
        <f>+Dietary_Sample[[#This Row],[Est average Aide wage cost]]+Dietary_Sample[[#This Row],[Est average Cook wage cost]]</f>
        <v>112944.83200000001</v>
      </c>
      <c r="AS15" s="12">
        <f>+Dietary_Sample[[#This Row],[Est average Aide wage cost]]+Dietary_Sample[[#This Row],[Est average Cook wage cost]]</f>
        <v>112944.83200000001</v>
      </c>
      <c r="AT15" s="14">
        <f>IF(Dietary_Sample[[#This Row],[Aide cost estimator]]=0,0,Dietary_Sample[[#This Row],[Est median Aide wage cost ]]/Dietary_Sample[[#This Row],[Aide cost estimator]])</f>
        <v>0</v>
      </c>
      <c r="AU15" s="14">
        <f>IF(Dietary_Sample[[#This Row],[Aide cost estimator]]=0,0,Dietary_Sample[[#This Row],[Est average Aide wage cost]]/Dietary_Sample[[#This Row],[Aide cost estimator]])</f>
        <v>0</v>
      </c>
      <c r="AV15" s="14">
        <f>IF(Dietary_Sample[[#This Row],[Cook cost estimator]]=0,0,Dietary_Sample[[#This Row],[Est median Cook wage cost]]/Dietary_Sample[[#This Row],[Cook cost estimator]])</f>
        <v>0.87703262982244534</v>
      </c>
      <c r="AW15" s="14">
        <f>IF(Dietary_Sample[[#This Row],[Cook cost estimator]]=0,0,Dietary_Sample[[#This Row],[Est average Cook wage cost]]/Dietary_Sample[[#This Row],[Cook cost estimator]])</f>
        <v>0.88234289749823447</v>
      </c>
      <c r="AX15" s="14">
        <f>IF(Dietary_Sample[[#This Row],[Aide median]]=0,0,Dietary_Sample[[#This Row],[Aide min]]/Dietary_Sample[[#This Row],[Aide median]])</f>
        <v>0</v>
      </c>
      <c r="AY15" s="14">
        <f>IF(Dietary_Sample[[#This Row],[Aide median]]=0,0,Dietary_Sample[[#This Row],[Aide max]]/Dietary_Sample[[#This Row],[Aide median]])</f>
        <v>0</v>
      </c>
      <c r="AZ15" s="14">
        <f>IF(Dietary_Sample[[#This Row],[Cook median]]=0,0,Dietary_Sample[[#This Row],[Cook min]]/Dietary_Sample[[#This Row],[Cook median]])</f>
        <v>0.9394518801784576</v>
      </c>
      <c r="BA15" s="14">
        <f>IF(Dietary_Sample[[#This Row],[Cook median]]=0,0,Dietary_Sample[[#This Row],[Cook max]]/Dietary_Sample[[#This Row],[Cook median]])</f>
        <v>1.0847673677501593</v>
      </c>
      <c r="BB15" s="12">
        <f>VLOOKUP(A15,Summary!$1:$1048576,2,FALSE)</f>
        <v>3</v>
      </c>
      <c r="BM15" s="10">
        <v>17</v>
      </c>
    </row>
    <row r="16" spans="1:65" x14ac:dyDescent="0.55000000000000004">
      <c r="A16" s="10">
        <v>227</v>
      </c>
      <c r="B16" s="10" t="s">
        <v>54</v>
      </c>
      <c r="C16" s="10">
        <f>VLOOKUP($A16,'SAS Data'!$1:$1048576,MATCH(C$1,'SAS Data'!$3:$3,0),FALSE)</f>
        <v>3</v>
      </c>
      <c r="D16" s="10">
        <f>VLOOKUP($A16,'SAS Data'!$1:$1048576,MATCH(D$1,'SAS Data'!$3:$3,0),FALSE)</f>
        <v>9</v>
      </c>
      <c r="E16" s="10">
        <f t="shared" si="1"/>
        <v>12</v>
      </c>
      <c r="F16" s="11">
        <f>VLOOKUP($A16,'SAS Data'!$1:$1048576,MATCH(F$1,'SAS Data'!$3:$3,0),FALSE)</f>
        <v>14.957034109208021</v>
      </c>
      <c r="G16" s="12">
        <f>+Dietary_Sample[[#This Row],[Diet Cph]]*Dietary_Sample[[#This Row],[Diet Hrsn]]</f>
        <v>204342.99999999997</v>
      </c>
      <c r="H1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204343</v>
      </c>
      <c r="I16" s="17">
        <f>+Dietary_Sample[[#This Row],[Employee count Sample Data Aide]]/Dietary_Sample[[#This Row],[Total aide &amp; Cook]]*Dietary_Sample[[#This Row],[Diet Hrsn]]</f>
        <v>13662</v>
      </c>
      <c r="J16" s="13">
        <f>IF(Dietary_Sample[[#This Row],[Aide Hours]]=0,0,Dietary_Sample[[#This Row],[Aide cost estimator]]/Dietary_Sample[[#This Row],[Aide Hours]])</f>
        <v>14.957034109208022</v>
      </c>
      <c r="K1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0</v>
      </c>
      <c r="L16" s="17">
        <f>+Dietary_Sample[[#This Row],[Employee count Sample Data Cook]]/Dietary_Sample[[#This Row],[Total aide &amp; Cook]]*Dietary_Sample[[#This Row],[Diet Hrsn]]</f>
        <v>0</v>
      </c>
      <c r="M16" s="13">
        <f>IF(Dietary_Sample[[#This Row],[Cook Hours]]=0,0,Dietary_Sample[[#This Row],[Cook cost estimator]]/Dietary_Sample[[#This Row],[Cook Hours]])</f>
        <v>0</v>
      </c>
      <c r="N16" s="12">
        <f>VLOOKUP(A16,'Estimator data 120523'!$A:$F,5,FALSE)</f>
        <v>204343</v>
      </c>
      <c r="O16" s="12">
        <f>VLOOKUP($A16,'SAS Data'!$1:$1048576,MATCH(O$1,'SAS Data'!$3:$3,0),FALSE)</f>
        <v>13662</v>
      </c>
      <c r="P16" s="13">
        <f>+Dietary_Sample[[#This Row],[Cost Estimator]]/Dietary_Sample[[#This Row],[Diet Hrsn]]</f>
        <v>14.957034109208022</v>
      </c>
      <c r="Q16" s="10">
        <f>COUNTIFS('Dietary Detail'!$R:$R,$A16,'Dietary Detail'!$U:$U,RIGHT(Q$1,4))</f>
        <v>2</v>
      </c>
      <c r="R16" s="10">
        <f>COUNTIFS('Dietary Detail'!$R:$R,$A16,'Dietary Detail'!$U:$U,RIGHT(R$1,4))</f>
        <v>0</v>
      </c>
      <c r="S16" s="10">
        <f>+Dietary_Sample[[#This Row],[Employee count Sample Data Aide]]+Dietary_Sample[[#This Row],[Employee count Sample Data Cook]]</f>
        <v>2</v>
      </c>
      <c r="T16" s="13">
        <v>12.5</v>
      </c>
      <c r="U16" s="13">
        <v>12.5</v>
      </c>
      <c r="V16" s="13">
        <v>12.5</v>
      </c>
      <c r="W16" s="13">
        <v>12.5</v>
      </c>
      <c r="X16" s="13">
        <v>0</v>
      </c>
      <c r="Y16" s="13">
        <v>0</v>
      </c>
      <c r="Z16" s="13">
        <v>0</v>
      </c>
      <c r="AA16" s="13">
        <v>0</v>
      </c>
      <c r="AB16" s="13">
        <f>IF(AND(Dietary_Sample[[#This Row],[Aide median]]=0,Dietary_Sample[[#This Row],[Cook median]]=0),0,IF(Dietary_Sample[[#This Row],[Aide median]]=0,1,Dietary_Sample[[#This Row],[Cook median]]/Dietary_Sample[[#This Row],[Aide median]]))</f>
        <v>0</v>
      </c>
      <c r="AC16" s="13">
        <f>IF(AND(Dietary_Sample[[#This Row],[Aide average]]=0,Dietary_Sample[[#This Row],[Cook average]]=0),0,IF(Dietary_Sample[[#This Row],[Aide average]]=0,1,Dietary_Sample[[#This Row],[Cook average]]/Dietary_Sample[[#This Row],[Aide average]]))</f>
        <v>0</v>
      </c>
      <c r="AD16" s="37">
        <f>COUNTIFS('Dietary Detail'!$R:$R,$A16,'Dietary Detail'!$T:$T,"&lt;"&amp;V16,'Dietary Detail'!$U:$U,RIGHT(AD$1,4))</f>
        <v>0</v>
      </c>
      <c r="AE16" s="37">
        <f>COUNTIFS('Dietary Detail'!$R:$R,$A16,'Dietary Detail'!$T:$T,"&lt;"&amp;W16,'Dietary Detail'!$U:$U,RIGHT(AE$1,4))</f>
        <v>0</v>
      </c>
      <c r="AF16" s="37">
        <f>COUNTIFS('Dietary Detail'!$R:$R,$A16,'Dietary Detail'!$T:$T,"&lt;"&amp;$BG$3,'Dietary Detail'!$U:$U,RIGHT(AF$1,4))</f>
        <v>2</v>
      </c>
      <c r="AG16" s="37">
        <f>COUNTIFS('Dietary Detail'!$R:$R,$A16,'Dietary Detail'!$T:$T,"&lt;"&amp;$BG$4,'Dietary Detail'!$U:$U,RIGHT(AG$1,4))</f>
        <v>2</v>
      </c>
      <c r="AH16" s="37">
        <f>COUNTIFS('Dietary Detail'!$R:$R,$A16,'Dietary Detail'!$T:$T,"&lt;"&amp;$BG$5,'Dietary Detail'!$U:$U,RIGHT(AH$1,4))</f>
        <v>2</v>
      </c>
      <c r="AI16" s="37">
        <f>COUNTIFS('Dietary Detail'!$R:$R,$A16,'Dietary Detail'!$T:$T,"&lt;"&amp;Z16,'Dietary Detail'!$U:$U,RIGHT(AI$1,4))</f>
        <v>0</v>
      </c>
      <c r="AJ16" s="37">
        <f>COUNTIFS('Dietary Detail'!$R:$R,$A16,'Dietary Detail'!$T:$T,"&lt;"&amp;AA16,'Dietary Detail'!$U:$U,RIGHT(AJ$1,4))</f>
        <v>0</v>
      </c>
      <c r="AK16" s="37">
        <f>COUNTIFS('Dietary Detail'!$R:$R,$A16,'Dietary Detail'!$T:$T,"&lt;"&amp;$BH$3,'Dietary Detail'!$U:$U,RIGHT(AK$1,4))</f>
        <v>0</v>
      </c>
      <c r="AL16" s="37">
        <f>COUNTIFS('Dietary Detail'!$R:$R,$A16,'Dietary Detail'!$T:$T,"&lt;"&amp;$BH$4,'Dietary Detail'!$U:$U,RIGHT(AL$1,4))</f>
        <v>0</v>
      </c>
      <c r="AM16" s="37">
        <f>COUNTIFS('Dietary Detail'!$R:$R,$A16,'Dietary Detail'!$T:$T,"&lt;"&amp;$BH$5,'Dietary Detail'!$U:$U,RIGHT(AM$1,4))</f>
        <v>0</v>
      </c>
      <c r="AN16" s="12">
        <f>+Dietary_Sample[[#This Row],[Aide median]]*Dietary_Sample[[#This Row],[Aide Hours]]</f>
        <v>170775</v>
      </c>
      <c r="AO16" s="12">
        <f>+Dietary_Sample[[#This Row],[Aide average]]*Dietary_Sample[[#This Row],[Aide Hours]]</f>
        <v>170775</v>
      </c>
      <c r="AP16" s="12">
        <f>+Dietary_Sample[[#This Row],[Cook median]]*Dietary_Sample[[#This Row],[Cook Hours]]</f>
        <v>0</v>
      </c>
      <c r="AQ16" s="12">
        <f>+Dietary_Sample[[#This Row],[Cook average]]*Dietary_Sample[[#This Row],[Cook Hours]]</f>
        <v>0</v>
      </c>
      <c r="AR16" s="12">
        <f>+Dietary_Sample[[#This Row],[Est average Aide wage cost]]+Dietary_Sample[[#This Row],[Est average Cook wage cost]]</f>
        <v>170775</v>
      </c>
      <c r="AS16" s="12">
        <f>+Dietary_Sample[[#This Row],[Est average Aide wage cost]]+Dietary_Sample[[#This Row],[Est average Cook wage cost]]</f>
        <v>170775</v>
      </c>
      <c r="AT16" s="14">
        <f>IF(Dietary_Sample[[#This Row],[Aide cost estimator]]=0,0,Dietary_Sample[[#This Row],[Est median Aide wage cost ]]/Dietary_Sample[[#This Row],[Aide cost estimator]])</f>
        <v>0.8357271841952012</v>
      </c>
      <c r="AU16" s="14">
        <f>IF(Dietary_Sample[[#This Row],[Aide cost estimator]]=0,0,Dietary_Sample[[#This Row],[Est average Aide wage cost]]/Dietary_Sample[[#This Row],[Aide cost estimator]])</f>
        <v>0.8357271841952012</v>
      </c>
      <c r="AV16" s="14">
        <f>IF(Dietary_Sample[[#This Row],[Cook cost estimator]]=0,0,Dietary_Sample[[#This Row],[Est median Cook wage cost]]/Dietary_Sample[[#This Row],[Cook cost estimator]])</f>
        <v>0</v>
      </c>
      <c r="AW16" s="14">
        <f>IF(Dietary_Sample[[#This Row],[Cook cost estimator]]=0,0,Dietary_Sample[[#This Row],[Est average Cook wage cost]]/Dietary_Sample[[#This Row],[Cook cost estimator]])</f>
        <v>0</v>
      </c>
      <c r="AX16" s="14">
        <f>IF(Dietary_Sample[[#This Row],[Aide median]]=0,0,Dietary_Sample[[#This Row],[Aide min]]/Dietary_Sample[[#This Row],[Aide median]])</f>
        <v>1</v>
      </c>
      <c r="AY16" s="14">
        <f>IF(Dietary_Sample[[#This Row],[Aide median]]=0,0,Dietary_Sample[[#This Row],[Aide max]]/Dietary_Sample[[#This Row],[Aide median]])</f>
        <v>1</v>
      </c>
      <c r="AZ16" s="14">
        <f>IF(Dietary_Sample[[#This Row],[Cook median]]=0,0,Dietary_Sample[[#This Row],[Cook min]]/Dietary_Sample[[#This Row],[Cook median]])</f>
        <v>0</v>
      </c>
      <c r="BA16" s="14">
        <f>IF(Dietary_Sample[[#This Row],[Cook median]]=0,0,Dietary_Sample[[#This Row],[Cook max]]/Dietary_Sample[[#This Row],[Cook median]])</f>
        <v>0</v>
      </c>
      <c r="BB16" s="12">
        <f>VLOOKUP(A16,Summary!$1:$1048576,2,FALSE)</f>
        <v>2</v>
      </c>
      <c r="BM16" s="10">
        <f>+BM14+BM15</f>
        <v>75</v>
      </c>
    </row>
    <row r="17" spans="1:54" x14ac:dyDescent="0.55000000000000004">
      <c r="A17" s="10">
        <v>234</v>
      </c>
      <c r="B17" s="10" t="s">
        <v>54</v>
      </c>
      <c r="C17" s="10">
        <f>VLOOKUP($A17,'SAS Data'!$1:$1048576,MATCH(C$1,'SAS Data'!$3:$3,0),FALSE)</f>
        <v>9</v>
      </c>
      <c r="D17" s="10">
        <f>VLOOKUP($A17,'SAS Data'!$1:$1048576,MATCH(D$1,'SAS Data'!$3:$3,0),FALSE)</f>
        <v>8</v>
      </c>
      <c r="E17" s="10">
        <f t="shared" si="1"/>
        <v>17</v>
      </c>
      <c r="F17" s="11">
        <f>VLOOKUP($A17,'SAS Data'!$1:$1048576,MATCH(F$1,'SAS Data'!$3:$3,0),FALSE)</f>
        <v>18.951887738055461</v>
      </c>
      <c r="G17" s="12">
        <f>+Dietary_Sample[[#This Row],[Diet Cph]]*Dietary_Sample[[#This Row],[Diet Hrsn]]</f>
        <v>397060.99999999994</v>
      </c>
      <c r="H1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258089.65000000002</v>
      </c>
      <c r="I17" s="17">
        <f>+Dietary_Sample[[#This Row],[Employee count Sample Data Aide]]/Dietary_Sample[[#This Row],[Total aide &amp; Cook]]*Dietary_Sample[[#This Row],[Diet Hrsn]]</f>
        <v>13967.333333333332</v>
      </c>
      <c r="J17" s="13">
        <f>IF(Dietary_Sample[[#This Row],[Aide Hours]]=0,0,Dietary_Sample[[#This Row],[Aide cost estimator]]/Dietary_Sample[[#This Row],[Aide Hours]])</f>
        <v>18.478090544604079</v>
      </c>
      <c r="K1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138971.34999999998</v>
      </c>
      <c r="L17" s="17">
        <f>+Dietary_Sample[[#This Row],[Employee count Sample Data Cook]]/Dietary_Sample[[#This Row],[Total aide &amp; Cook]]*Dietary_Sample[[#This Row],[Diet Hrsn]]</f>
        <v>6983.6666666666661</v>
      </c>
      <c r="M17" s="13">
        <f>IF(Dietary_Sample[[#This Row],[Cook Hours]]=0,0,Dietary_Sample[[#This Row],[Cook cost estimator]]/Dietary_Sample[[#This Row],[Cook Hours]])</f>
        <v>19.899482124958233</v>
      </c>
      <c r="N17" s="12">
        <f>VLOOKUP(A17,'Estimator data 120523'!$A:$F,5,FALSE)</f>
        <v>397061</v>
      </c>
      <c r="O17" s="12">
        <f>VLOOKUP($A17,'SAS Data'!$1:$1048576,MATCH(O$1,'SAS Data'!$3:$3,0),FALSE)</f>
        <v>20951</v>
      </c>
      <c r="P17" s="13">
        <f>+Dietary_Sample[[#This Row],[Cost Estimator]]/Dietary_Sample[[#This Row],[Diet Hrsn]]</f>
        <v>18.951887738055461</v>
      </c>
      <c r="Q17" s="10">
        <f>COUNTIFS('Dietary Detail'!$R:$R,$A17,'Dietary Detail'!$U:$U,RIGHT(Q$1,4))</f>
        <v>10</v>
      </c>
      <c r="R17" s="10">
        <f>COUNTIFS('Dietary Detail'!$R:$R,$A17,'Dietary Detail'!$U:$U,RIGHT(R$1,4))</f>
        <v>5</v>
      </c>
      <c r="S17" s="10">
        <f>+Dietary_Sample[[#This Row],[Employee count Sample Data Aide]]+Dietary_Sample[[#This Row],[Employee count Sample Data Cook]]</f>
        <v>15</v>
      </c>
      <c r="T17" s="13">
        <v>15</v>
      </c>
      <c r="U17" s="13">
        <v>17.5</v>
      </c>
      <c r="V17" s="13">
        <v>16.25</v>
      </c>
      <c r="W17" s="13">
        <v>16.05</v>
      </c>
      <c r="X17" s="13">
        <v>17</v>
      </c>
      <c r="Y17" s="13">
        <v>18.75</v>
      </c>
      <c r="Z17" s="13">
        <v>17.5</v>
      </c>
      <c r="AA17" s="13">
        <v>17.649999999999999</v>
      </c>
      <c r="AB17" s="13">
        <f>IF(AND(Dietary_Sample[[#This Row],[Aide median]]=0,Dietary_Sample[[#This Row],[Cook median]]=0),0,IF(Dietary_Sample[[#This Row],[Aide median]]=0,1,Dietary_Sample[[#This Row],[Cook median]]/Dietary_Sample[[#This Row],[Aide median]]))</f>
        <v>1.0769230769230769</v>
      </c>
      <c r="AC17" s="13">
        <f>IF(AND(Dietary_Sample[[#This Row],[Aide average]]=0,Dietary_Sample[[#This Row],[Cook average]]=0),0,IF(Dietary_Sample[[#This Row],[Aide average]]=0,1,Dietary_Sample[[#This Row],[Cook average]]/Dietary_Sample[[#This Row],[Aide average]]))</f>
        <v>1.099688473520249</v>
      </c>
      <c r="AD17" s="37">
        <f>COUNTIFS('Dietary Detail'!$R:$R,$A17,'Dietary Detail'!$T:$T,"&lt;"&amp;V17,'Dietary Detail'!$U:$U,RIGHT(AD$1,4))</f>
        <v>5</v>
      </c>
      <c r="AE17" s="37">
        <f>COUNTIFS('Dietary Detail'!$R:$R,$A17,'Dietary Detail'!$T:$T,"&lt;"&amp;W17,'Dietary Detail'!$U:$U,RIGHT(AE$1,4))</f>
        <v>5</v>
      </c>
      <c r="AF17" s="37">
        <f>COUNTIFS('Dietary Detail'!$R:$R,$A17,'Dietary Detail'!$T:$T,"&lt;"&amp;$BG$3,'Dietary Detail'!$U:$U,RIGHT(AF$1,4))</f>
        <v>10</v>
      </c>
      <c r="AG17" s="37">
        <f>COUNTIFS('Dietary Detail'!$R:$R,$A17,'Dietary Detail'!$T:$T,"&lt;"&amp;$BG$4,'Dietary Detail'!$U:$U,RIGHT(AG$1,4))</f>
        <v>5</v>
      </c>
      <c r="AH17" s="37">
        <f>COUNTIFS('Dietary Detail'!$R:$R,$A17,'Dietary Detail'!$T:$T,"&lt;"&amp;$BG$5,'Dietary Detail'!$U:$U,RIGHT(AH$1,4))</f>
        <v>7</v>
      </c>
      <c r="AI17" s="37">
        <f>COUNTIFS('Dietary Detail'!$R:$R,$A17,'Dietary Detail'!$T:$T,"&lt;"&amp;Z17,'Dietary Detail'!$U:$U,RIGHT(AI$1,4))</f>
        <v>2</v>
      </c>
      <c r="AJ17" s="37">
        <f>COUNTIFS('Dietary Detail'!$R:$R,$A17,'Dietary Detail'!$T:$T,"&lt;"&amp;AA17,'Dietary Detail'!$U:$U,RIGHT(AJ$1,4))</f>
        <v>3</v>
      </c>
      <c r="AK17" s="37">
        <f>COUNTIFS('Dietary Detail'!$R:$R,$A17,'Dietary Detail'!$T:$T,"&lt;"&amp;$BH$3,'Dietary Detail'!$U:$U,RIGHT(AK$1,4))</f>
        <v>5</v>
      </c>
      <c r="AL17" s="37">
        <f>COUNTIFS('Dietary Detail'!$R:$R,$A17,'Dietary Detail'!$T:$T,"&lt;"&amp;$BH$4,'Dietary Detail'!$U:$U,RIGHT(AL$1,4))</f>
        <v>5</v>
      </c>
      <c r="AM17" s="37">
        <f>COUNTIFS('Dietary Detail'!$R:$R,$A17,'Dietary Detail'!$T:$T,"&lt;"&amp;$BH$5,'Dietary Detail'!$U:$U,RIGHT(AM$1,4))</f>
        <v>5</v>
      </c>
      <c r="AN17" s="12">
        <f>+Dietary_Sample[[#This Row],[Aide median]]*Dietary_Sample[[#This Row],[Aide Hours]]</f>
        <v>226969.16666666666</v>
      </c>
      <c r="AO17" s="12">
        <f>+Dietary_Sample[[#This Row],[Aide average]]*Dietary_Sample[[#This Row],[Aide Hours]]</f>
        <v>224175.69999999998</v>
      </c>
      <c r="AP17" s="12">
        <f>+Dietary_Sample[[#This Row],[Cook median]]*Dietary_Sample[[#This Row],[Cook Hours]]</f>
        <v>122214.16666666666</v>
      </c>
      <c r="AQ17" s="12">
        <f>+Dietary_Sample[[#This Row],[Cook average]]*Dietary_Sample[[#This Row],[Cook Hours]]</f>
        <v>123261.71666666665</v>
      </c>
      <c r="AR17" s="12">
        <f>+Dietary_Sample[[#This Row],[Est average Aide wage cost]]+Dietary_Sample[[#This Row],[Est average Cook wage cost]]</f>
        <v>347437.41666666663</v>
      </c>
      <c r="AS17" s="12">
        <f>+Dietary_Sample[[#This Row],[Est average Aide wage cost]]+Dietary_Sample[[#This Row],[Est average Cook wage cost]]</f>
        <v>347437.41666666663</v>
      </c>
      <c r="AT17" s="14">
        <f>IF(Dietary_Sample[[#This Row],[Aide cost estimator]]=0,0,Dietary_Sample[[#This Row],[Est median Aide wage cost ]]/Dietary_Sample[[#This Row],[Aide cost estimator]])</f>
        <v>0.87941987083428819</v>
      </c>
      <c r="AU17" s="14">
        <f>IF(Dietary_Sample[[#This Row],[Aide cost estimator]]=0,0,Dietary_Sample[[#This Row],[Est average Aide wage cost]]/Dietary_Sample[[#This Row],[Aide cost estimator]])</f>
        <v>0.86859624165478921</v>
      </c>
      <c r="AV17" s="14">
        <f>IF(Dietary_Sample[[#This Row],[Cook cost estimator]]=0,0,Dietary_Sample[[#This Row],[Est median Cook wage cost]]/Dietary_Sample[[#This Row],[Cook cost estimator]])</f>
        <v>0.8794198708342883</v>
      </c>
      <c r="AW17" s="14">
        <f>IF(Dietary_Sample[[#This Row],[Cook cost estimator]]=0,0,Dietary_Sample[[#This Row],[Est average Cook wage cost]]/Dietary_Sample[[#This Row],[Cook cost estimator]])</f>
        <v>0.88695775544143929</v>
      </c>
      <c r="AX17" s="14">
        <f>IF(Dietary_Sample[[#This Row],[Aide median]]=0,0,Dietary_Sample[[#This Row],[Aide min]]/Dietary_Sample[[#This Row],[Aide median]])</f>
        <v>0.92307692307692313</v>
      </c>
      <c r="AY17" s="14">
        <f>IF(Dietary_Sample[[#This Row],[Aide median]]=0,0,Dietary_Sample[[#This Row],[Aide max]]/Dietary_Sample[[#This Row],[Aide median]])</f>
        <v>1.0769230769230769</v>
      </c>
      <c r="AZ17" s="14">
        <f>IF(Dietary_Sample[[#This Row],[Cook median]]=0,0,Dietary_Sample[[#This Row],[Cook min]]/Dietary_Sample[[#This Row],[Cook median]])</f>
        <v>0.97142857142857142</v>
      </c>
      <c r="BA17" s="14">
        <f>IF(Dietary_Sample[[#This Row],[Cook median]]=0,0,Dietary_Sample[[#This Row],[Cook max]]/Dietary_Sample[[#This Row],[Cook median]])</f>
        <v>1.0714285714285714</v>
      </c>
      <c r="BB17" s="12">
        <f>VLOOKUP(A17,Summary!$1:$1048576,2,FALSE)</f>
        <v>3</v>
      </c>
    </row>
    <row r="18" spans="1:54" x14ac:dyDescent="0.55000000000000004">
      <c r="A18" s="10">
        <v>263</v>
      </c>
      <c r="B18" s="10" t="s">
        <v>54</v>
      </c>
      <c r="C18" s="10">
        <f>VLOOKUP($A18,'SAS Data'!$1:$1048576,MATCH(C$1,'SAS Data'!$3:$3,0),FALSE)</f>
        <v>5</v>
      </c>
      <c r="D18" s="10">
        <f>VLOOKUP($A18,'SAS Data'!$1:$1048576,MATCH(D$1,'SAS Data'!$3:$3,0),FALSE)</f>
        <v>4</v>
      </c>
      <c r="E18" s="10">
        <f t="shared" si="1"/>
        <v>9</v>
      </c>
      <c r="F18" s="11">
        <f>VLOOKUP($A18,'SAS Data'!$1:$1048576,MATCH(F$1,'SAS Data'!$3:$3,0),FALSE)</f>
        <v>18.839625509149492</v>
      </c>
      <c r="G18" s="12">
        <f>+Dietary_Sample[[#This Row],[Diet Cph]]*Dietary_Sample[[#This Row],[Diet Hrsn]]</f>
        <v>309893</v>
      </c>
      <c r="H1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199182.72824034336</v>
      </c>
      <c r="I18" s="17">
        <f>+Dietary_Sample[[#This Row],[Employee count Sample Data Aide]]/Dietary_Sample[[#This Row],[Total aide &amp; Cook]]*Dietary_Sample[[#This Row],[Diet Hrsn]]</f>
        <v>10966</v>
      </c>
      <c r="J18" s="13">
        <f>IF(Dietary_Sample[[#This Row],[Aide Hours]]=0,0,Dietary_Sample[[#This Row],[Aide cost estimator]]/Dietary_Sample[[#This Row],[Aide Hours]])</f>
        <v>18.163662980151685</v>
      </c>
      <c r="K1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110710.27175965667</v>
      </c>
      <c r="L18" s="17">
        <f>+Dietary_Sample[[#This Row],[Employee count Sample Data Cook]]/Dietary_Sample[[#This Row],[Total aide &amp; Cook]]*Dietary_Sample[[#This Row],[Diet Hrsn]]</f>
        <v>5483</v>
      </c>
      <c r="M18" s="13">
        <f>IF(Dietary_Sample[[#This Row],[Cook Hours]]=0,0,Dietary_Sample[[#This Row],[Cook cost estimator]]/Dietary_Sample[[#This Row],[Cook Hours]])</f>
        <v>20.191550567145114</v>
      </c>
      <c r="N18" s="12">
        <f>VLOOKUP(A18,'Estimator data 120523'!$A:$F,5,FALSE)</f>
        <v>309893</v>
      </c>
      <c r="O18" s="12">
        <f>VLOOKUP($A18,'SAS Data'!$1:$1048576,MATCH(O$1,'SAS Data'!$3:$3,0),FALSE)</f>
        <v>16449</v>
      </c>
      <c r="P18" s="13">
        <f>+Dietary_Sample[[#This Row],[Cost Estimator]]/Dietary_Sample[[#This Row],[Diet Hrsn]]</f>
        <v>18.839625509149492</v>
      </c>
      <c r="Q18" s="10">
        <f>COUNTIFS('Dietary Detail'!$R:$R,$A18,'Dietary Detail'!$U:$U,RIGHT(Q$1,4))</f>
        <v>4</v>
      </c>
      <c r="R18" s="10">
        <f>COUNTIFS('Dietary Detail'!$R:$R,$A18,'Dietary Detail'!$U:$U,RIGHT(R$1,4))</f>
        <v>2</v>
      </c>
      <c r="S18" s="10">
        <f>+Dietary_Sample[[#This Row],[Employee count Sample Data Aide]]+Dietary_Sample[[#This Row],[Employee count Sample Data Cook]]</f>
        <v>6</v>
      </c>
      <c r="T18" s="13">
        <v>18.72</v>
      </c>
      <c r="U18" s="13">
        <v>18.72</v>
      </c>
      <c r="V18" s="13">
        <v>18.72</v>
      </c>
      <c r="W18" s="13">
        <v>18.72</v>
      </c>
      <c r="X18" s="13">
        <v>20.81</v>
      </c>
      <c r="Y18" s="13">
        <v>20.81</v>
      </c>
      <c r="Z18" s="13">
        <v>20.81</v>
      </c>
      <c r="AA18" s="13">
        <v>20.81</v>
      </c>
      <c r="AB18" s="13">
        <f>IF(AND(Dietary_Sample[[#This Row],[Aide median]]=0,Dietary_Sample[[#This Row],[Cook median]]=0),0,IF(Dietary_Sample[[#This Row],[Aide median]]=0,1,Dietary_Sample[[#This Row],[Cook median]]/Dietary_Sample[[#This Row],[Aide median]]))</f>
        <v>1.1116452991452992</v>
      </c>
      <c r="AC18" s="13">
        <f>IF(AND(Dietary_Sample[[#This Row],[Aide average]]=0,Dietary_Sample[[#This Row],[Cook average]]=0),0,IF(Dietary_Sample[[#This Row],[Aide average]]=0,1,Dietary_Sample[[#This Row],[Cook average]]/Dietary_Sample[[#This Row],[Aide average]]))</f>
        <v>1.1116452991452992</v>
      </c>
      <c r="AD18" s="37">
        <f>COUNTIFS('Dietary Detail'!$R:$R,$A18,'Dietary Detail'!$T:$T,"&lt;"&amp;V18,'Dietary Detail'!$U:$U,RIGHT(AD$1,4))</f>
        <v>0</v>
      </c>
      <c r="AE18" s="37">
        <f>COUNTIFS('Dietary Detail'!$R:$R,$A18,'Dietary Detail'!$T:$T,"&lt;"&amp;W18,'Dietary Detail'!$U:$U,RIGHT(AE$1,4))</f>
        <v>0</v>
      </c>
      <c r="AF18" s="37">
        <f>COUNTIFS('Dietary Detail'!$R:$R,$A18,'Dietary Detail'!$T:$T,"&lt;"&amp;$BG$3,'Dietary Detail'!$U:$U,RIGHT(AF$1,4))</f>
        <v>4</v>
      </c>
      <c r="AG18" s="37">
        <f>COUNTIFS('Dietary Detail'!$R:$R,$A18,'Dietary Detail'!$T:$T,"&lt;"&amp;$BG$4,'Dietary Detail'!$U:$U,RIGHT(AG$1,4))</f>
        <v>0</v>
      </c>
      <c r="AH18" s="37">
        <f>COUNTIFS('Dietary Detail'!$R:$R,$A18,'Dietary Detail'!$T:$T,"&lt;"&amp;$BG$5,'Dietary Detail'!$U:$U,RIGHT(AH$1,4))</f>
        <v>0</v>
      </c>
      <c r="AI18" s="37">
        <f>COUNTIFS('Dietary Detail'!$R:$R,$A18,'Dietary Detail'!$T:$T,"&lt;"&amp;Z18,'Dietary Detail'!$U:$U,RIGHT(AI$1,4))</f>
        <v>0</v>
      </c>
      <c r="AJ18" s="37">
        <f>COUNTIFS('Dietary Detail'!$R:$R,$A18,'Dietary Detail'!$T:$T,"&lt;"&amp;AA18,'Dietary Detail'!$U:$U,RIGHT(AJ$1,4))</f>
        <v>0</v>
      </c>
      <c r="AK18" s="37">
        <f>COUNTIFS('Dietary Detail'!$R:$R,$A18,'Dietary Detail'!$T:$T,"&lt;"&amp;$BH$3,'Dietary Detail'!$U:$U,RIGHT(AK$1,4))</f>
        <v>2</v>
      </c>
      <c r="AL18" s="37">
        <f>COUNTIFS('Dietary Detail'!$R:$R,$A18,'Dietary Detail'!$T:$T,"&lt;"&amp;$BH$4,'Dietary Detail'!$U:$U,RIGHT(AL$1,4))</f>
        <v>0</v>
      </c>
      <c r="AM18" s="37">
        <f>COUNTIFS('Dietary Detail'!$R:$R,$A18,'Dietary Detail'!$T:$T,"&lt;"&amp;$BH$5,'Dietary Detail'!$U:$U,RIGHT(AM$1,4))</f>
        <v>0</v>
      </c>
      <c r="AN18" s="12">
        <f>+Dietary_Sample[[#This Row],[Aide median]]*Dietary_Sample[[#This Row],[Aide Hours]]</f>
        <v>205283.52</v>
      </c>
      <c r="AO18" s="12">
        <f>+Dietary_Sample[[#This Row],[Aide average]]*Dietary_Sample[[#This Row],[Aide Hours]]</f>
        <v>205283.52</v>
      </c>
      <c r="AP18" s="12">
        <f>+Dietary_Sample[[#This Row],[Cook median]]*Dietary_Sample[[#This Row],[Cook Hours]]</f>
        <v>114101.23</v>
      </c>
      <c r="AQ18" s="12">
        <f>+Dietary_Sample[[#This Row],[Cook average]]*Dietary_Sample[[#This Row],[Cook Hours]]</f>
        <v>114101.23</v>
      </c>
      <c r="AR18" s="12">
        <f>+Dietary_Sample[[#This Row],[Est average Aide wage cost]]+Dietary_Sample[[#This Row],[Est average Cook wage cost]]</f>
        <v>319384.75</v>
      </c>
      <c r="AS18" s="12">
        <f>+Dietary_Sample[[#This Row],[Est average Aide wage cost]]+Dietary_Sample[[#This Row],[Est average Cook wage cost]]</f>
        <v>319384.75</v>
      </c>
      <c r="AT18" s="14">
        <f>IF(Dietary_Sample[[#This Row],[Aide cost estimator]]=0,0,Dietary_Sample[[#This Row],[Est median Aide wage cost ]]/Dietary_Sample[[#This Row],[Aide cost estimator]])</f>
        <v>1.0306291203738063</v>
      </c>
      <c r="AU18" s="14">
        <f>IF(Dietary_Sample[[#This Row],[Aide cost estimator]]=0,0,Dietary_Sample[[#This Row],[Est average Aide wage cost]]/Dietary_Sample[[#This Row],[Aide cost estimator]])</f>
        <v>1.0306291203738063</v>
      </c>
      <c r="AV18" s="14">
        <f>IF(Dietary_Sample[[#This Row],[Cook cost estimator]]=0,0,Dietary_Sample[[#This Row],[Est median Cook wage cost]]/Dietary_Sample[[#This Row],[Cook cost estimator]])</f>
        <v>1.0306291203738063</v>
      </c>
      <c r="AW18" s="14">
        <f>IF(Dietary_Sample[[#This Row],[Cook cost estimator]]=0,0,Dietary_Sample[[#This Row],[Est average Cook wage cost]]/Dietary_Sample[[#This Row],[Cook cost estimator]])</f>
        <v>1.0306291203738063</v>
      </c>
      <c r="AX18" s="14">
        <f>IF(Dietary_Sample[[#This Row],[Aide median]]=0,0,Dietary_Sample[[#This Row],[Aide min]]/Dietary_Sample[[#This Row],[Aide median]])</f>
        <v>1</v>
      </c>
      <c r="AY18" s="14">
        <f>IF(Dietary_Sample[[#This Row],[Aide median]]=0,0,Dietary_Sample[[#This Row],[Aide max]]/Dietary_Sample[[#This Row],[Aide median]])</f>
        <v>1</v>
      </c>
      <c r="AZ18" s="14">
        <f>IF(Dietary_Sample[[#This Row],[Cook median]]=0,0,Dietary_Sample[[#This Row],[Cook min]]/Dietary_Sample[[#This Row],[Cook median]])</f>
        <v>1</v>
      </c>
      <c r="BA18" s="14">
        <f>IF(Dietary_Sample[[#This Row],[Cook median]]=0,0,Dietary_Sample[[#This Row],[Cook max]]/Dietary_Sample[[#This Row],[Cook median]])</f>
        <v>1</v>
      </c>
      <c r="BB18" s="12">
        <f>VLOOKUP(A18,Summary!$1:$1048576,2,FALSE)</f>
        <v>3</v>
      </c>
    </row>
    <row r="19" spans="1:54" x14ac:dyDescent="0.55000000000000004">
      <c r="A19" s="10">
        <v>268</v>
      </c>
      <c r="B19" s="10" t="s">
        <v>54</v>
      </c>
      <c r="C19" s="10">
        <f>VLOOKUP($A19,'SAS Data'!$1:$1048576,MATCH(C$1,'SAS Data'!$3:$3,0),FALSE)</f>
        <v>10</v>
      </c>
      <c r="D19" s="10">
        <f>VLOOKUP($A19,'SAS Data'!$1:$1048576,MATCH(D$1,'SAS Data'!$3:$3,0),FALSE)</f>
        <v>15</v>
      </c>
      <c r="E19" s="10">
        <f t="shared" si="1"/>
        <v>25</v>
      </c>
      <c r="F19" s="11">
        <f>VLOOKUP($A19,'SAS Data'!$1:$1048576,MATCH(F$1,'SAS Data'!$3:$3,0),FALSE)</f>
        <v>22.302137468566638</v>
      </c>
      <c r="G19" s="12">
        <f>+Dietary_Sample[[#This Row],[Diet Cph]]*Dietary_Sample[[#This Row],[Diet Hrsn]]</f>
        <v>532129</v>
      </c>
      <c r="H1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480777.58866103733</v>
      </c>
      <c r="I19" s="17">
        <f>+Dietary_Sample[[#This Row],[Employee count Sample Data Aide]]/Dietary_Sample[[#This Row],[Total aide &amp; Cook]]*Dietary_Sample[[#This Row],[Diet Hrsn]]</f>
        <v>21976.315789473683</v>
      </c>
      <c r="J19" s="13">
        <f>IF(Dietary_Sample[[#This Row],[Aide Hours]]=0,0,Dietary_Sample[[#This Row],[Aide cost estimator]]/Dietary_Sample[[#This Row],[Aide Hours]])</f>
        <v>21.877078636234486</v>
      </c>
      <c r="K1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51351.4113389626</v>
      </c>
      <c r="L19" s="17">
        <f>+Dietary_Sample[[#This Row],[Employee count Sample Data Cook]]/Dietary_Sample[[#This Row],[Total aide &amp; Cook]]*Dietary_Sample[[#This Row],[Diet Hrsn]]</f>
        <v>1883.6842105263156</v>
      </c>
      <c r="M19" s="13">
        <f>IF(Dietary_Sample[[#This Row],[Cook Hours]]=0,0,Dietary_Sample[[#This Row],[Cook cost estimator]]/Dietary_Sample[[#This Row],[Cook Hours]])</f>
        <v>27.261157179108395</v>
      </c>
      <c r="N19" s="12">
        <f>VLOOKUP(A19,'Estimator data 120523'!$A:$F,5,FALSE)</f>
        <v>532129</v>
      </c>
      <c r="O19" s="12">
        <f>VLOOKUP($A19,'SAS Data'!$1:$1048576,MATCH(O$1,'SAS Data'!$3:$3,0),FALSE)</f>
        <v>23860</v>
      </c>
      <c r="P19" s="13">
        <f>+Dietary_Sample[[#This Row],[Cost Estimator]]/Dietary_Sample[[#This Row],[Diet Hrsn]]</f>
        <v>22.302137468566638</v>
      </c>
      <c r="Q19" s="10">
        <f>COUNTIFS('Dietary Detail'!$R:$R,$A19,'Dietary Detail'!$U:$U,RIGHT(Q$1,4))</f>
        <v>35</v>
      </c>
      <c r="R19" s="10">
        <f>COUNTIFS('Dietary Detail'!$R:$R,$A19,'Dietary Detail'!$U:$U,RIGHT(R$1,4))</f>
        <v>3</v>
      </c>
      <c r="S19" s="10">
        <f>+Dietary_Sample[[#This Row],[Employee count Sample Data Aide]]+Dietary_Sample[[#This Row],[Employee count Sample Data Cook]]</f>
        <v>38</v>
      </c>
      <c r="T19" s="13">
        <v>16.05</v>
      </c>
      <c r="U19" s="13">
        <v>18.48</v>
      </c>
      <c r="V19" s="13">
        <v>16.05</v>
      </c>
      <c r="W19" s="13">
        <v>16.294857142857143</v>
      </c>
      <c r="X19" s="13">
        <v>19.82</v>
      </c>
      <c r="Y19" s="13">
        <v>23.77</v>
      </c>
      <c r="Z19" s="13">
        <v>20</v>
      </c>
      <c r="AA19" s="13">
        <v>21.196666666666665</v>
      </c>
      <c r="AB19" s="13">
        <f>IF(AND(Dietary_Sample[[#This Row],[Aide median]]=0,Dietary_Sample[[#This Row],[Cook median]]=0),0,IF(Dietary_Sample[[#This Row],[Aide median]]=0,1,Dietary_Sample[[#This Row],[Cook median]]/Dietary_Sample[[#This Row],[Aide median]]))</f>
        <v>1.2461059190031152</v>
      </c>
      <c r="AC19" s="13">
        <f>IF(AND(Dietary_Sample[[#This Row],[Aide average]]=0,Dietary_Sample[[#This Row],[Cook average]]=0),0,IF(Dietary_Sample[[#This Row],[Aide average]]=0,1,Dietary_Sample[[#This Row],[Cook average]]/Dietary_Sample[[#This Row],[Aide average]]))</f>
        <v>1.3008194230139802</v>
      </c>
      <c r="AD19" s="37">
        <f>COUNTIFS('Dietary Detail'!$R:$R,$A19,'Dietary Detail'!$T:$T,"&lt;"&amp;V19,'Dietary Detail'!$U:$U,RIGHT(AD$1,4))</f>
        <v>0</v>
      </c>
      <c r="AE19" s="37">
        <f>COUNTIFS('Dietary Detail'!$R:$R,$A19,'Dietary Detail'!$T:$T,"&lt;"&amp;W19,'Dietary Detail'!$U:$U,RIGHT(AE$1,4))</f>
        <v>29</v>
      </c>
      <c r="AF19" s="37">
        <f>COUNTIFS('Dietary Detail'!$R:$R,$A19,'Dietary Detail'!$T:$T,"&lt;"&amp;$BG$3,'Dietary Detail'!$U:$U,RIGHT(AF$1,4))</f>
        <v>35</v>
      </c>
      <c r="AG19" s="37">
        <f>COUNTIFS('Dietary Detail'!$R:$R,$A19,'Dietary Detail'!$T:$T,"&lt;"&amp;$BG$4,'Dietary Detail'!$U:$U,RIGHT(AG$1,4))</f>
        <v>27</v>
      </c>
      <c r="AH19" s="37">
        <f>COUNTIFS('Dietary Detail'!$R:$R,$A19,'Dietary Detail'!$T:$T,"&lt;"&amp;$BG$5,'Dietary Detail'!$U:$U,RIGHT(AH$1,4))</f>
        <v>29</v>
      </c>
      <c r="AI19" s="37">
        <f>COUNTIFS('Dietary Detail'!$R:$R,$A19,'Dietary Detail'!$T:$T,"&lt;"&amp;Z19,'Dietary Detail'!$U:$U,RIGHT(AI$1,4))</f>
        <v>1</v>
      </c>
      <c r="AJ19" s="37">
        <f>COUNTIFS('Dietary Detail'!$R:$R,$A19,'Dietary Detail'!$T:$T,"&lt;"&amp;AA19,'Dietary Detail'!$U:$U,RIGHT(AJ$1,4))</f>
        <v>2</v>
      </c>
      <c r="AK19" s="37">
        <f>COUNTIFS('Dietary Detail'!$R:$R,$A19,'Dietary Detail'!$T:$T,"&lt;"&amp;$BH$3,'Dietary Detail'!$U:$U,RIGHT(AK$1,4))</f>
        <v>3</v>
      </c>
      <c r="AL19" s="37">
        <f>COUNTIFS('Dietary Detail'!$R:$R,$A19,'Dietary Detail'!$T:$T,"&lt;"&amp;$BH$4,'Dietary Detail'!$U:$U,RIGHT(AL$1,4))</f>
        <v>0</v>
      </c>
      <c r="AM19" s="37">
        <f>COUNTIFS('Dietary Detail'!$R:$R,$A19,'Dietary Detail'!$T:$T,"&lt;"&amp;$BH$5,'Dietary Detail'!$U:$U,RIGHT(AM$1,4))</f>
        <v>0</v>
      </c>
      <c r="AN19" s="12">
        <f>+Dietary_Sample[[#This Row],[Aide median]]*Dietary_Sample[[#This Row],[Aide Hours]]</f>
        <v>352719.86842105264</v>
      </c>
      <c r="AO19" s="12">
        <f>+Dietary_Sample[[#This Row],[Aide average]]*Dietary_Sample[[#This Row],[Aide Hours]]</f>
        <v>358100.92631578946</v>
      </c>
      <c r="AP19" s="12">
        <f>+Dietary_Sample[[#This Row],[Cook median]]*Dietary_Sample[[#This Row],[Cook Hours]]</f>
        <v>37673.684210526313</v>
      </c>
      <c r="AQ19" s="12">
        <f>+Dietary_Sample[[#This Row],[Cook average]]*Dietary_Sample[[#This Row],[Cook Hours]]</f>
        <v>39927.826315789469</v>
      </c>
      <c r="AR19" s="12">
        <f>+Dietary_Sample[[#This Row],[Est average Aide wage cost]]+Dietary_Sample[[#This Row],[Est average Cook wage cost]]</f>
        <v>398028.75263157894</v>
      </c>
      <c r="AS19" s="12">
        <f>+Dietary_Sample[[#This Row],[Est average Aide wage cost]]+Dietary_Sample[[#This Row],[Est average Cook wage cost]]</f>
        <v>398028.75263157894</v>
      </c>
      <c r="AT19" s="14">
        <f>IF(Dietary_Sample[[#This Row],[Aide cost estimator]]=0,0,Dietary_Sample[[#This Row],[Est median Aide wage cost ]]/Dietary_Sample[[#This Row],[Aide cost estimator]])</f>
        <v>0.73364457233411262</v>
      </c>
      <c r="AU19" s="14">
        <f>IF(Dietary_Sample[[#This Row],[Aide cost estimator]]=0,0,Dietary_Sample[[#This Row],[Est average Aide wage cost]]/Dietary_Sample[[#This Row],[Aide cost estimator]])</f>
        <v>0.74483697818173755</v>
      </c>
      <c r="AV19" s="14">
        <f>IF(Dietary_Sample[[#This Row],[Cook cost estimator]]=0,0,Dietary_Sample[[#This Row],[Est median Cook wage cost]]/Dietary_Sample[[#This Row],[Cook cost estimator]])</f>
        <v>0.73364457233411251</v>
      </c>
      <c r="AW19" s="14">
        <f>IF(Dietary_Sample[[#This Row],[Cook cost estimator]]=0,0,Dietary_Sample[[#This Row],[Est average Cook wage cost]]/Dietary_Sample[[#This Row],[Cook cost estimator]])</f>
        <v>0.7775409725787702</v>
      </c>
      <c r="AX19" s="14">
        <f>IF(Dietary_Sample[[#This Row],[Aide median]]=0,0,Dietary_Sample[[#This Row],[Aide min]]/Dietary_Sample[[#This Row],[Aide median]])</f>
        <v>1</v>
      </c>
      <c r="AY19" s="14">
        <f>IF(Dietary_Sample[[#This Row],[Aide median]]=0,0,Dietary_Sample[[#This Row],[Aide max]]/Dietary_Sample[[#This Row],[Aide median]])</f>
        <v>1.1514018691588785</v>
      </c>
      <c r="AZ19" s="14">
        <f>IF(Dietary_Sample[[#This Row],[Cook median]]=0,0,Dietary_Sample[[#This Row],[Cook min]]/Dietary_Sample[[#This Row],[Cook median]])</f>
        <v>0.99099999999999999</v>
      </c>
      <c r="BA19" s="14">
        <f>IF(Dietary_Sample[[#This Row],[Cook median]]=0,0,Dietary_Sample[[#This Row],[Cook max]]/Dietary_Sample[[#This Row],[Cook median]])</f>
        <v>1.1884999999999999</v>
      </c>
      <c r="BB19" s="12">
        <f>VLOOKUP(A19,Summary!$1:$1048576,2,FALSE)</f>
        <v>2</v>
      </c>
    </row>
    <row r="20" spans="1:54" x14ac:dyDescent="0.55000000000000004">
      <c r="A20" s="10">
        <v>277</v>
      </c>
      <c r="B20" s="10" t="s">
        <v>54</v>
      </c>
      <c r="C20" s="10">
        <f>VLOOKUP($A20,'SAS Data'!$1:$1048576,MATCH(C$1,'SAS Data'!$3:$3,0),FALSE)</f>
        <v>0</v>
      </c>
      <c r="D20" s="10">
        <f>VLOOKUP($A20,'SAS Data'!$1:$1048576,MATCH(D$1,'SAS Data'!$3:$3,0),FALSE)</f>
        <v>0</v>
      </c>
      <c r="E20" s="10">
        <f t="shared" si="1"/>
        <v>0</v>
      </c>
      <c r="F20" s="11">
        <f>VLOOKUP($A20,'SAS Data'!$1:$1048576,MATCH(F$1,'SAS Data'!$3:$3,0),FALSE)</f>
        <v>0</v>
      </c>
      <c r="G20" s="12">
        <f>+Dietary_Sample[[#This Row],[Diet Cph]]*Dietary_Sample[[#This Row],[Diet Hrsn]]</f>
        <v>0</v>
      </c>
      <c r="H2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122200.76462052966</v>
      </c>
      <c r="I20" s="17">
        <f>+Dietary_Sample[[#This Row],[Employee count Sample Data Aide]]/Dietary_Sample[[#This Row],[Total aide &amp; Cook]]*Dietary_Sample[[#This Row],[Diet Hrsn]]</f>
        <v>6375</v>
      </c>
      <c r="J20" s="13">
        <f>IF(Dietary_Sample[[#This Row],[Aide Hours]]=0,0,Dietary_Sample[[#This Row],[Aide cost estimator]]/Dietary_Sample[[#This Row],[Aide Hours]])</f>
        <v>19.168747391455632</v>
      </c>
      <c r="K2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121481.33115816163</v>
      </c>
      <c r="L20" s="17">
        <f>+Dietary_Sample[[#This Row],[Employee count Sample Data Cook]]/Dietary_Sample[[#This Row],[Total aide &amp; Cook]]*Dietary_Sample[[#This Row],[Diet Hrsn]]</f>
        <v>4250</v>
      </c>
      <c r="M20" s="13">
        <f>IF(Dietary_Sample[[#This Row],[Cook Hours]]=0,0,Dietary_Sample[[#This Row],[Cook cost estimator]]/Dietary_Sample[[#This Row],[Cook Hours]])</f>
        <v>28.583842625449794</v>
      </c>
      <c r="N20" s="12">
        <f>VLOOKUP(A20,'Estimator data 120523'!$A:$F,5,FALSE)</f>
        <v>243682.09577869132</v>
      </c>
      <c r="O20" s="12">
        <f>VLOOKUP($A20,'SAS Data'!$1:$1048576,MATCH(O$1,'SAS Data'!$3:$3,0),FALSE)</f>
        <v>10625</v>
      </c>
      <c r="P20" s="13">
        <f>+Dietary_Sample[[#This Row],[Cost Estimator]]/Dietary_Sample[[#This Row],[Diet Hrsn]]</f>
        <v>22.9347854850533</v>
      </c>
      <c r="Q20" s="10">
        <f>COUNTIFS('Dietary Detail'!$R:$R,$A20,'Dietary Detail'!$U:$U,RIGHT(Q$1,4))</f>
        <v>6</v>
      </c>
      <c r="R20" s="10">
        <f>COUNTIFS('Dietary Detail'!$R:$R,$A20,'Dietary Detail'!$U:$U,RIGHT(R$1,4))</f>
        <v>4</v>
      </c>
      <c r="S20" s="10">
        <f>+Dietary_Sample[[#This Row],[Employee count Sample Data Aide]]+Dietary_Sample[[#This Row],[Employee count Sample Data Cook]]</f>
        <v>10</v>
      </c>
      <c r="T20" s="13">
        <v>14.36</v>
      </c>
      <c r="U20" s="13">
        <v>20.1828</v>
      </c>
      <c r="V20" s="13">
        <v>15.7514</v>
      </c>
      <c r="W20" s="13">
        <v>16.327933333333334</v>
      </c>
      <c r="X20" s="13">
        <v>21.155200000000001</v>
      </c>
      <c r="Y20" s="13">
        <v>25.426600000000001</v>
      </c>
      <c r="Z20" s="13">
        <v>23.488</v>
      </c>
      <c r="AA20" s="13">
        <v>23.389450000000004</v>
      </c>
      <c r="AB20" s="13">
        <f>IF(AND(Dietary_Sample[[#This Row],[Aide median]]=0,Dietary_Sample[[#This Row],[Cook median]]=0),0,IF(Dietary_Sample[[#This Row],[Aide median]]=0,1,Dietary_Sample[[#This Row],[Cook median]]/Dietary_Sample[[#This Row],[Aide median]]))</f>
        <v>1.49116903894257</v>
      </c>
      <c r="AC20" s="13">
        <f>IF(AND(Dietary_Sample[[#This Row],[Aide average]]=0,Dietary_Sample[[#This Row],[Cook average]]=0),0,IF(Dietary_Sample[[#This Row],[Aide average]]=0,1,Dietary_Sample[[#This Row],[Cook average]]/Dietary_Sample[[#This Row],[Aide average]]))</f>
        <v>1.4324807385298814</v>
      </c>
      <c r="AD20" s="37">
        <f>COUNTIFS('Dietary Detail'!$R:$R,$A20,'Dietary Detail'!$T:$T,"&lt;"&amp;V20,'Dietary Detail'!$U:$U,RIGHT(AD$1,4))</f>
        <v>3</v>
      </c>
      <c r="AE20" s="37">
        <f>COUNTIFS('Dietary Detail'!$R:$R,$A20,'Dietary Detail'!$T:$T,"&lt;"&amp;W20,'Dietary Detail'!$U:$U,RIGHT(AE$1,4))</f>
        <v>3</v>
      </c>
      <c r="AF20" s="37">
        <f>COUNTIFS('Dietary Detail'!$R:$R,$A20,'Dietary Detail'!$T:$T,"&lt;"&amp;$BG$3,'Dietary Detail'!$U:$U,RIGHT(AF$1,4))</f>
        <v>6</v>
      </c>
      <c r="AG20" s="37">
        <f>COUNTIFS('Dietary Detail'!$R:$R,$A20,'Dietary Detail'!$T:$T,"&lt;"&amp;$BG$4,'Dietary Detail'!$U:$U,RIGHT(AG$1,4))</f>
        <v>3</v>
      </c>
      <c r="AH20" s="37">
        <f>COUNTIFS('Dietary Detail'!$R:$R,$A20,'Dietary Detail'!$T:$T,"&lt;"&amp;$BG$5,'Dietary Detail'!$U:$U,RIGHT(AH$1,4))</f>
        <v>4</v>
      </c>
      <c r="AI20" s="37">
        <f>COUNTIFS('Dietary Detail'!$R:$R,$A20,'Dietary Detail'!$T:$T,"&lt;"&amp;Z20,'Dietary Detail'!$U:$U,RIGHT(AI$1,4))</f>
        <v>2</v>
      </c>
      <c r="AJ20" s="37">
        <f>COUNTIFS('Dietary Detail'!$R:$R,$A20,'Dietary Detail'!$T:$T,"&lt;"&amp;AA20,'Dietary Detail'!$U:$U,RIGHT(AJ$1,4))</f>
        <v>2</v>
      </c>
      <c r="AK20" s="37">
        <f>COUNTIFS('Dietary Detail'!$R:$R,$A20,'Dietary Detail'!$T:$T,"&lt;"&amp;$BH$3,'Dietary Detail'!$U:$U,RIGHT(AK$1,4))</f>
        <v>2</v>
      </c>
      <c r="AL20" s="37">
        <f>COUNTIFS('Dietary Detail'!$R:$R,$A20,'Dietary Detail'!$T:$T,"&lt;"&amp;$BH$4,'Dietary Detail'!$U:$U,RIGHT(AL$1,4))</f>
        <v>0</v>
      </c>
      <c r="AM20" s="37">
        <f>COUNTIFS('Dietary Detail'!$R:$R,$A20,'Dietary Detail'!$T:$T,"&lt;"&amp;$BH$5,'Dietary Detail'!$U:$U,RIGHT(AM$1,4))</f>
        <v>0</v>
      </c>
      <c r="AN20" s="12">
        <f>+Dietary_Sample[[#This Row],[Aide median]]*Dietary_Sample[[#This Row],[Aide Hours]]</f>
        <v>100415.175</v>
      </c>
      <c r="AO20" s="12">
        <f>+Dietary_Sample[[#This Row],[Aide average]]*Dietary_Sample[[#This Row],[Aide Hours]]</f>
        <v>104090.57500000001</v>
      </c>
      <c r="AP20" s="12">
        <f>+Dietary_Sample[[#This Row],[Cook median]]*Dietary_Sample[[#This Row],[Cook Hours]]</f>
        <v>99824</v>
      </c>
      <c r="AQ20" s="12">
        <f>+Dietary_Sample[[#This Row],[Cook average]]*Dietary_Sample[[#This Row],[Cook Hours]]</f>
        <v>99405.16250000002</v>
      </c>
      <c r="AR20" s="12">
        <f>+Dietary_Sample[[#This Row],[Est average Aide wage cost]]+Dietary_Sample[[#This Row],[Est average Cook wage cost]]</f>
        <v>203495.73750000005</v>
      </c>
      <c r="AS20" s="12">
        <f>+Dietary_Sample[[#This Row],[Est average Aide wage cost]]+Dietary_Sample[[#This Row],[Est average Cook wage cost]]</f>
        <v>203495.73750000005</v>
      </c>
      <c r="AT20" s="14">
        <f>IF(Dietary_Sample[[#This Row],[Aide cost estimator]]=0,0,Dietary_Sample[[#This Row],[Est median Aide wage cost ]]/Dietary_Sample[[#This Row],[Aide cost estimator]])</f>
        <v>0.82172296803395217</v>
      </c>
      <c r="AU20" s="14">
        <f>IF(Dietary_Sample[[#This Row],[Aide cost estimator]]=0,0,Dietary_Sample[[#This Row],[Est average Aide wage cost]]/Dietary_Sample[[#This Row],[Aide cost estimator]])</f>
        <v>0.85179970291702134</v>
      </c>
      <c r="AV20" s="14">
        <f>IF(Dietary_Sample[[#This Row],[Cook cost estimator]]=0,0,Dietary_Sample[[#This Row],[Est median Cook wage cost]]/Dietary_Sample[[#This Row],[Cook cost estimator]])</f>
        <v>0.82172296803395217</v>
      </c>
      <c r="AW20" s="14">
        <f>IF(Dietary_Sample[[#This Row],[Cook cost estimator]]=0,0,Dietary_Sample[[#This Row],[Est average Cook wage cost]]/Dietary_Sample[[#This Row],[Cook cost estimator]])</f>
        <v>0.81827521605422882</v>
      </c>
      <c r="AX20" s="14">
        <f>IF(Dietary_Sample[[#This Row],[Aide median]]=0,0,Dietary_Sample[[#This Row],[Aide min]]/Dietary_Sample[[#This Row],[Aide median]])</f>
        <v>0.91166499485759989</v>
      </c>
      <c r="AY20" s="14">
        <f>IF(Dietary_Sample[[#This Row],[Aide median]]=0,0,Dietary_Sample[[#This Row],[Aide max]]/Dietary_Sample[[#This Row],[Aide median]])</f>
        <v>1.281333722716711</v>
      </c>
      <c r="AZ20" s="14">
        <f>IF(Dietary_Sample[[#This Row],[Cook median]]=0,0,Dietary_Sample[[#This Row],[Cook min]]/Dietary_Sample[[#This Row],[Cook median]])</f>
        <v>0.9006811989100818</v>
      </c>
      <c r="BA20" s="14">
        <f>IF(Dietary_Sample[[#This Row],[Cook median]]=0,0,Dietary_Sample[[#This Row],[Cook max]]/Dietary_Sample[[#This Row],[Cook median]])</f>
        <v>1.0825357629427794</v>
      </c>
      <c r="BB20" s="12">
        <f>VLOOKUP(A20,Summary!$1:$1048576,2,FALSE)</f>
        <v>1</v>
      </c>
    </row>
    <row r="21" spans="1:54" x14ac:dyDescent="0.55000000000000004">
      <c r="A21" s="10">
        <v>288</v>
      </c>
      <c r="B21" s="10" t="s">
        <v>54</v>
      </c>
      <c r="C21" s="10">
        <f>VLOOKUP($A21,'SAS Data'!$1:$1048576,MATCH(C$1,'SAS Data'!$3:$3,0),FALSE)</f>
        <v>0</v>
      </c>
      <c r="D21" s="10">
        <f>VLOOKUP($A21,'SAS Data'!$1:$1048576,MATCH(D$1,'SAS Data'!$3:$3,0),FALSE)</f>
        <v>0</v>
      </c>
      <c r="E21" s="10">
        <f t="shared" si="1"/>
        <v>0</v>
      </c>
      <c r="F21" s="11">
        <f>VLOOKUP($A21,'SAS Data'!$1:$1048576,MATCH(F$1,'SAS Data'!$3:$3,0),FALSE)</f>
        <v>19.371978762184007</v>
      </c>
      <c r="G21" s="12">
        <f>+Dietary_Sample[[#This Row],[Diet Cph]]*Dietary_Sample[[#This Row],[Diet Hrsn]]</f>
        <v>244454.99999999997</v>
      </c>
      <c r="H2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140000.95451074507</v>
      </c>
      <c r="I21" s="17">
        <f>+Dietary_Sample[[#This Row],[Employee count Sample Data Aide]]/Dietary_Sample[[#This Row],[Total aide &amp; Cook]]*Dietary_Sample[[#This Row],[Diet Hrsn]]</f>
        <v>7886.875</v>
      </c>
      <c r="J21" s="13">
        <f>IF(Dietary_Sample[[#This Row],[Aide Hours]]=0,0,Dietary_Sample[[#This Row],[Aide cost estimator]]/Dietary_Sample[[#This Row],[Aide Hours]])</f>
        <v>17.75113140638657</v>
      </c>
      <c r="K2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104454.04548925495</v>
      </c>
      <c r="L21" s="17">
        <f>+Dietary_Sample[[#This Row],[Employee count Sample Data Cook]]/Dietary_Sample[[#This Row],[Total aide &amp; Cook]]*Dietary_Sample[[#This Row],[Diet Hrsn]]</f>
        <v>4732.125</v>
      </c>
      <c r="M21" s="13">
        <f>IF(Dietary_Sample[[#This Row],[Cook Hours]]=0,0,Dietary_Sample[[#This Row],[Cook cost estimator]]/Dietary_Sample[[#This Row],[Cook Hours]])</f>
        <v>22.073391021846412</v>
      </c>
      <c r="N21" s="12">
        <f>VLOOKUP(A21,'Estimator data 120523'!$A:$F,5,FALSE)</f>
        <v>244455</v>
      </c>
      <c r="O21" s="12">
        <f>VLOOKUP($A21,'SAS Data'!$1:$1048576,MATCH(O$1,'SAS Data'!$3:$3,0),FALSE)</f>
        <v>12619</v>
      </c>
      <c r="P21" s="13">
        <f>+Dietary_Sample[[#This Row],[Cost Estimator]]/Dietary_Sample[[#This Row],[Diet Hrsn]]</f>
        <v>19.371978762184007</v>
      </c>
      <c r="Q21" s="10">
        <f>COUNTIFS('Dietary Detail'!$R:$R,$A21,'Dietary Detail'!$U:$U,RIGHT(Q$1,4))</f>
        <v>5</v>
      </c>
      <c r="R21" s="10">
        <f>COUNTIFS('Dietary Detail'!$R:$R,$A21,'Dietary Detail'!$U:$U,RIGHT(R$1,4))</f>
        <v>3</v>
      </c>
      <c r="S21" s="10">
        <f>+Dietary_Sample[[#This Row],[Employee count Sample Data Aide]]+Dietary_Sample[[#This Row],[Employee count Sample Data Cook]]</f>
        <v>8</v>
      </c>
      <c r="T21" s="13">
        <v>15.25</v>
      </c>
      <c r="U21" s="13">
        <v>16.25</v>
      </c>
      <c r="V21" s="13">
        <v>15.75</v>
      </c>
      <c r="W21" s="13">
        <v>15.65</v>
      </c>
      <c r="X21" s="13">
        <v>17.5</v>
      </c>
      <c r="Y21" s="13">
        <v>21.67</v>
      </c>
      <c r="Z21" s="13">
        <v>19.585000000000001</v>
      </c>
      <c r="AA21" s="13">
        <v>19.585000000000001</v>
      </c>
      <c r="AB21" s="13">
        <f>IF(AND(Dietary_Sample[[#This Row],[Aide median]]=0,Dietary_Sample[[#This Row],[Cook median]]=0),0,IF(Dietary_Sample[[#This Row],[Aide median]]=0,1,Dietary_Sample[[#This Row],[Cook median]]/Dietary_Sample[[#This Row],[Aide median]]))</f>
        <v>1.2434920634920636</v>
      </c>
      <c r="AC21" s="13">
        <f>IF(AND(Dietary_Sample[[#This Row],[Aide average]]=0,Dietary_Sample[[#This Row],[Cook average]]=0),0,IF(Dietary_Sample[[#This Row],[Aide average]]=0,1,Dietary_Sample[[#This Row],[Cook average]]/Dietary_Sample[[#This Row],[Aide average]]))</f>
        <v>1.2514376996805112</v>
      </c>
      <c r="AD21" s="37">
        <f>COUNTIFS('Dietary Detail'!$R:$R,$A21,'Dietary Detail'!$T:$T,"&lt;"&amp;V21,'Dietary Detail'!$U:$U,RIGHT(AD$1,4))</f>
        <v>2</v>
      </c>
      <c r="AE21" s="37">
        <f>COUNTIFS('Dietary Detail'!$R:$R,$A21,'Dietary Detail'!$T:$T,"&lt;"&amp;W21,'Dietary Detail'!$U:$U,RIGHT(AE$1,4))</f>
        <v>2</v>
      </c>
      <c r="AF21" s="37">
        <f>COUNTIFS('Dietary Detail'!$R:$R,$A21,'Dietary Detail'!$T:$T,"&lt;"&amp;$BG$3,'Dietary Detail'!$U:$U,RIGHT(AF$1,4))</f>
        <v>5</v>
      </c>
      <c r="AG21" s="37">
        <f>COUNTIFS('Dietary Detail'!$R:$R,$A21,'Dietary Detail'!$T:$T,"&lt;"&amp;$BG$4,'Dietary Detail'!$U:$U,RIGHT(AG$1,4))</f>
        <v>4</v>
      </c>
      <c r="AH21" s="37">
        <f>COUNTIFS('Dietary Detail'!$R:$R,$A21,'Dietary Detail'!$T:$T,"&lt;"&amp;$BG$5,'Dietary Detail'!$U:$U,RIGHT(AH$1,4))</f>
        <v>5</v>
      </c>
      <c r="AI21" s="37">
        <f>COUNTIFS('Dietary Detail'!$R:$R,$A21,'Dietary Detail'!$T:$T,"&lt;"&amp;Z21,'Dietary Detail'!$U:$U,RIGHT(AI$1,4))</f>
        <v>1</v>
      </c>
      <c r="AJ21" s="37">
        <f>COUNTIFS('Dietary Detail'!$R:$R,$A21,'Dietary Detail'!$T:$T,"&lt;"&amp;AA21,'Dietary Detail'!$U:$U,RIGHT(AJ$1,4))</f>
        <v>1</v>
      </c>
      <c r="AK21" s="37">
        <f>COUNTIFS('Dietary Detail'!$R:$R,$A21,'Dietary Detail'!$T:$T,"&lt;"&amp;$BH$3,'Dietary Detail'!$U:$U,RIGHT(AK$1,4))</f>
        <v>3</v>
      </c>
      <c r="AL21" s="37">
        <f>COUNTIFS('Dietary Detail'!$R:$R,$A21,'Dietary Detail'!$T:$T,"&lt;"&amp;$BH$4,'Dietary Detail'!$U:$U,RIGHT(AL$1,4))</f>
        <v>1</v>
      </c>
      <c r="AM21" s="37">
        <f>COUNTIFS('Dietary Detail'!$R:$R,$A21,'Dietary Detail'!$T:$T,"&lt;"&amp;$BH$5,'Dietary Detail'!$U:$U,RIGHT(AM$1,4))</f>
        <v>1</v>
      </c>
      <c r="AN21" s="12">
        <f>+Dietary_Sample[[#This Row],[Aide median]]*Dietary_Sample[[#This Row],[Aide Hours]]</f>
        <v>124218.28125</v>
      </c>
      <c r="AO21" s="12">
        <f>+Dietary_Sample[[#This Row],[Aide average]]*Dietary_Sample[[#This Row],[Aide Hours]]</f>
        <v>123429.59375</v>
      </c>
      <c r="AP21" s="12">
        <f>+Dietary_Sample[[#This Row],[Cook median]]*Dietary_Sample[[#This Row],[Cook Hours]]</f>
        <v>92678.668125000011</v>
      </c>
      <c r="AQ21" s="12">
        <f>+Dietary_Sample[[#This Row],[Cook average]]*Dietary_Sample[[#This Row],[Cook Hours]]</f>
        <v>92678.668125000011</v>
      </c>
      <c r="AR21" s="12">
        <f>+Dietary_Sample[[#This Row],[Est average Aide wage cost]]+Dietary_Sample[[#This Row],[Est average Cook wage cost]]</f>
        <v>216108.26187500003</v>
      </c>
      <c r="AS21" s="12">
        <f>+Dietary_Sample[[#This Row],[Est average Aide wage cost]]+Dietary_Sample[[#This Row],[Est average Cook wage cost]]</f>
        <v>216108.26187500003</v>
      </c>
      <c r="AT21" s="14">
        <f>IF(Dietary_Sample[[#This Row],[Aide cost estimator]]=0,0,Dietary_Sample[[#This Row],[Est median Aide wage cost ]]/Dietary_Sample[[#This Row],[Aide cost estimator]])</f>
        <v>0.88726738816960171</v>
      </c>
      <c r="AU21" s="14">
        <f>IF(Dietary_Sample[[#This Row],[Aide cost estimator]]=0,0,Dietary_Sample[[#This Row],[Est average Aide wage cost]]/Dietary_Sample[[#This Row],[Aide cost estimator]])</f>
        <v>0.88163394443519161</v>
      </c>
      <c r="AV21" s="14">
        <f>IF(Dietary_Sample[[#This Row],[Cook cost estimator]]=0,0,Dietary_Sample[[#This Row],[Est median Cook wage cost]]/Dietary_Sample[[#This Row],[Cook cost estimator]])</f>
        <v>0.88726738816960182</v>
      </c>
      <c r="AW21" s="14">
        <f>IF(Dietary_Sample[[#This Row],[Cook cost estimator]]=0,0,Dietary_Sample[[#This Row],[Est average Cook wage cost]]/Dietary_Sample[[#This Row],[Cook cost estimator]])</f>
        <v>0.88726738816960182</v>
      </c>
      <c r="AX21" s="14">
        <f>IF(Dietary_Sample[[#This Row],[Aide median]]=0,0,Dietary_Sample[[#This Row],[Aide min]]/Dietary_Sample[[#This Row],[Aide median]])</f>
        <v>0.96825396825396826</v>
      </c>
      <c r="AY21" s="14">
        <f>IF(Dietary_Sample[[#This Row],[Aide median]]=0,0,Dietary_Sample[[#This Row],[Aide max]]/Dietary_Sample[[#This Row],[Aide median]])</f>
        <v>1.0317460317460319</v>
      </c>
      <c r="AZ21" s="14">
        <f>IF(Dietary_Sample[[#This Row],[Cook median]]=0,0,Dietary_Sample[[#This Row],[Cook min]]/Dietary_Sample[[#This Row],[Cook median]])</f>
        <v>0.89354097523615006</v>
      </c>
      <c r="BA21" s="14">
        <f>IF(Dietary_Sample[[#This Row],[Cook median]]=0,0,Dietary_Sample[[#This Row],[Cook max]]/Dietary_Sample[[#This Row],[Cook median]])</f>
        <v>1.1064590247638499</v>
      </c>
      <c r="BB21" s="12">
        <f>VLOOKUP(A21,Summary!$1:$1048576,2,FALSE)</f>
        <v>3</v>
      </c>
    </row>
    <row r="22" spans="1:54" x14ac:dyDescent="0.55000000000000004">
      <c r="A22" s="10">
        <v>313</v>
      </c>
      <c r="B22" s="10" t="s">
        <v>54</v>
      </c>
      <c r="C22" s="10">
        <f>VLOOKUP($A22,'SAS Data'!$1:$1048576,MATCH(C$1,'SAS Data'!$3:$3,0),FALSE)</f>
        <v>6</v>
      </c>
      <c r="D22" s="10">
        <f>VLOOKUP($A22,'SAS Data'!$1:$1048576,MATCH(D$1,'SAS Data'!$3:$3,0),FALSE)</f>
        <v>7</v>
      </c>
      <c r="E22" s="10">
        <f t="shared" si="1"/>
        <v>13</v>
      </c>
      <c r="F22" s="11">
        <f>VLOOKUP($A22,'SAS Data'!$1:$1048576,MATCH(F$1,'SAS Data'!$3:$3,0),FALSE)</f>
        <v>17.326025932361983</v>
      </c>
      <c r="G22" s="12">
        <f>+Dietary_Sample[[#This Row],[Diet Cph]]*Dietary_Sample[[#This Row],[Diet Hrsn]]</f>
        <v>259232</v>
      </c>
      <c r="H2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182018.73565662533</v>
      </c>
      <c r="I22" s="17">
        <f>+Dietary_Sample[[#This Row],[Employee count Sample Data Aide]]/Dietary_Sample[[#This Row],[Total aide &amp; Cook]]*Dietary_Sample[[#This Row],[Diet Hrsn]]</f>
        <v>10972.133333333333</v>
      </c>
      <c r="J22" s="13">
        <f>IF(Dietary_Sample[[#This Row],[Aide Hours]]=0,0,Dietary_Sample[[#This Row],[Aide cost estimator]]/Dietary_Sample[[#This Row],[Aide Hours]])</f>
        <v>16.589183719054208</v>
      </c>
      <c r="K2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77213.264343374685</v>
      </c>
      <c r="L22" s="17">
        <f>+Dietary_Sample[[#This Row],[Employee count Sample Data Cook]]/Dietary_Sample[[#This Row],[Total aide &amp; Cook]]*Dietary_Sample[[#This Row],[Diet Hrsn]]</f>
        <v>3989.8666666666668</v>
      </c>
      <c r="M22" s="13">
        <f>IF(Dietary_Sample[[#This Row],[Cook Hours]]=0,0,Dietary_Sample[[#This Row],[Cook cost estimator]]/Dietary_Sample[[#This Row],[Cook Hours]])</f>
        <v>19.352342018958364</v>
      </c>
      <c r="N22" s="12">
        <f>VLOOKUP(A22,'Estimator data 120523'!$A:$F,5,FALSE)</f>
        <v>259232</v>
      </c>
      <c r="O22" s="12">
        <f>VLOOKUP($A22,'SAS Data'!$1:$1048576,MATCH(O$1,'SAS Data'!$3:$3,0),FALSE)</f>
        <v>14962</v>
      </c>
      <c r="P22" s="13">
        <f>+Dietary_Sample[[#This Row],[Cost Estimator]]/Dietary_Sample[[#This Row],[Diet Hrsn]]</f>
        <v>17.326025932361983</v>
      </c>
      <c r="Q22" s="10">
        <f>COUNTIFS('Dietary Detail'!$R:$R,$A22,'Dietary Detail'!$U:$U,RIGHT(Q$1,4))</f>
        <v>11</v>
      </c>
      <c r="R22" s="10">
        <f>COUNTIFS('Dietary Detail'!$R:$R,$A22,'Dietary Detail'!$U:$U,RIGHT(R$1,4))</f>
        <v>4</v>
      </c>
      <c r="S22" s="10">
        <f>+Dietary_Sample[[#This Row],[Employee count Sample Data Aide]]+Dietary_Sample[[#This Row],[Employee count Sample Data Cook]]</f>
        <v>15</v>
      </c>
      <c r="T22" s="13">
        <v>14.84</v>
      </c>
      <c r="U22" s="13">
        <v>20.638000000000002</v>
      </c>
      <c r="V22" s="13">
        <v>16.21</v>
      </c>
      <c r="W22" s="13">
        <v>16.483381818181819</v>
      </c>
      <c r="X22" s="13">
        <v>17.437000000000001</v>
      </c>
      <c r="Y22" s="13">
        <v>22.15</v>
      </c>
      <c r="Z22" s="13">
        <v>18.91</v>
      </c>
      <c r="AA22" s="13">
        <v>19.351750000000003</v>
      </c>
      <c r="AB22" s="13">
        <f>IF(AND(Dietary_Sample[[#This Row],[Aide median]]=0,Dietary_Sample[[#This Row],[Cook median]]=0),0,IF(Dietary_Sample[[#This Row],[Aide median]]=0,1,Dietary_Sample[[#This Row],[Cook median]]/Dietary_Sample[[#This Row],[Aide median]]))</f>
        <v>1.1665638494756323</v>
      </c>
      <c r="AC22" s="13">
        <f>IF(AND(Dietary_Sample[[#This Row],[Aide average]]=0,Dietary_Sample[[#This Row],[Cook average]]=0),0,IF(Dietary_Sample[[#This Row],[Aide average]]=0,1,Dietary_Sample[[#This Row],[Cook average]]/Dietary_Sample[[#This Row],[Aide average]]))</f>
        <v>1.1740157580196475</v>
      </c>
      <c r="AD22" s="37">
        <f>COUNTIFS('Dietary Detail'!$R:$R,$A22,'Dietary Detail'!$T:$T,"&lt;"&amp;V22,'Dietary Detail'!$U:$U,RIGHT(AD$1,4))</f>
        <v>5</v>
      </c>
      <c r="AE22" s="37">
        <f>COUNTIFS('Dietary Detail'!$R:$R,$A22,'Dietary Detail'!$T:$T,"&lt;"&amp;W22,'Dietary Detail'!$U:$U,RIGHT(AE$1,4))</f>
        <v>6</v>
      </c>
      <c r="AF22" s="37">
        <f>COUNTIFS('Dietary Detail'!$R:$R,$A22,'Dietary Detail'!$T:$T,"&lt;"&amp;$BG$3,'Dietary Detail'!$U:$U,RIGHT(AF$1,4))</f>
        <v>11</v>
      </c>
      <c r="AG22" s="37">
        <f>COUNTIFS('Dietary Detail'!$R:$R,$A22,'Dietary Detail'!$T:$T,"&lt;"&amp;$BG$4,'Dietary Detail'!$U:$U,RIGHT(AG$1,4))</f>
        <v>5</v>
      </c>
      <c r="AH22" s="37">
        <f>COUNTIFS('Dietary Detail'!$R:$R,$A22,'Dietary Detail'!$T:$T,"&lt;"&amp;$BG$5,'Dietary Detail'!$U:$U,RIGHT(AH$1,4))</f>
        <v>6</v>
      </c>
      <c r="AI22" s="37">
        <f>COUNTIFS('Dietary Detail'!$R:$R,$A22,'Dietary Detail'!$T:$T,"&lt;"&amp;Z22,'Dietary Detail'!$U:$U,RIGHT(AI$1,4))</f>
        <v>2</v>
      </c>
      <c r="AJ22" s="37">
        <f>COUNTIFS('Dietary Detail'!$R:$R,$A22,'Dietary Detail'!$T:$T,"&lt;"&amp;AA22,'Dietary Detail'!$U:$U,RIGHT(AJ$1,4))</f>
        <v>2</v>
      </c>
      <c r="AK22" s="37">
        <f>COUNTIFS('Dietary Detail'!$R:$R,$A22,'Dietary Detail'!$T:$T,"&lt;"&amp;$BH$3,'Dietary Detail'!$U:$U,RIGHT(AK$1,4))</f>
        <v>4</v>
      </c>
      <c r="AL22" s="37">
        <f>COUNTIFS('Dietary Detail'!$R:$R,$A22,'Dietary Detail'!$T:$T,"&lt;"&amp;$BH$4,'Dietary Detail'!$U:$U,RIGHT(AL$1,4))</f>
        <v>2</v>
      </c>
      <c r="AM22" s="37">
        <f>COUNTIFS('Dietary Detail'!$R:$R,$A22,'Dietary Detail'!$T:$T,"&lt;"&amp;$BH$5,'Dietary Detail'!$U:$U,RIGHT(AM$1,4))</f>
        <v>2</v>
      </c>
      <c r="AN22" s="12">
        <f>+Dietary_Sample[[#This Row],[Aide median]]*Dietary_Sample[[#This Row],[Aide Hours]]</f>
        <v>177858.28133333335</v>
      </c>
      <c r="AO22" s="12">
        <f>+Dietary_Sample[[#This Row],[Aide average]]*Dietary_Sample[[#This Row],[Aide Hours]]</f>
        <v>180857.86309333335</v>
      </c>
      <c r="AP22" s="12">
        <f>+Dietary_Sample[[#This Row],[Cook median]]*Dietary_Sample[[#This Row],[Cook Hours]]</f>
        <v>75448.378666666671</v>
      </c>
      <c r="AQ22" s="12">
        <f>+Dietary_Sample[[#This Row],[Cook average]]*Dietary_Sample[[#This Row],[Cook Hours]]</f>
        <v>77210.902266666686</v>
      </c>
      <c r="AR22" s="12">
        <f>+Dietary_Sample[[#This Row],[Est average Aide wage cost]]+Dietary_Sample[[#This Row],[Est average Cook wage cost]]</f>
        <v>258068.76536000002</v>
      </c>
      <c r="AS22" s="12">
        <f>+Dietary_Sample[[#This Row],[Est average Aide wage cost]]+Dietary_Sample[[#This Row],[Est average Cook wage cost]]</f>
        <v>258068.76536000002</v>
      </c>
      <c r="AT22" s="14">
        <f>IF(Dietary_Sample[[#This Row],[Aide cost estimator]]=0,0,Dietary_Sample[[#This Row],[Est median Aide wage cost ]]/Dietary_Sample[[#This Row],[Aide cost estimator]])</f>
        <v>0.97714271386248619</v>
      </c>
      <c r="AU22" s="14">
        <f>IF(Dietary_Sample[[#This Row],[Aide cost estimator]]=0,0,Dietary_Sample[[#This Row],[Est average Aide wage cost]]/Dietary_Sample[[#This Row],[Aide cost estimator]])</f>
        <v>0.99362223586981757</v>
      </c>
      <c r="AV22" s="14">
        <f>IF(Dietary_Sample[[#This Row],[Cook cost estimator]]=0,0,Dietary_Sample[[#This Row],[Est median Cook wage cost]]/Dietary_Sample[[#This Row],[Cook cost estimator]])</f>
        <v>0.97714271386248608</v>
      </c>
      <c r="AW22" s="14">
        <f>IF(Dietary_Sample[[#This Row],[Cook cost estimator]]=0,0,Dietary_Sample[[#This Row],[Est average Cook wage cost]]/Dietary_Sample[[#This Row],[Cook cost estimator]])</f>
        <v>0.99996940840763449</v>
      </c>
      <c r="AX22" s="14">
        <f>IF(Dietary_Sample[[#This Row],[Aide median]]=0,0,Dietary_Sample[[#This Row],[Aide min]]/Dietary_Sample[[#This Row],[Aide median]])</f>
        <v>0.91548426896977164</v>
      </c>
      <c r="AY22" s="14">
        <f>IF(Dietary_Sample[[#This Row],[Aide median]]=0,0,Dietary_Sample[[#This Row],[Aide max]]/Dietary_Sample[[#This Row],[Aide median]])</f>
        <v>1.273164713140037</v>
      </c>
      <c r="AZ22" s="14">
        <f>IF(Dietary_Sample[[#This Row],[Cook median]]=0,0,Dietary_Sample[[#This Row],[Cook min]]/Dietary_Sample[[#This Row],[Cook median]])</f>
        <v>0.92210470650449505</v>
      </c>
      <c r="BA22" s="14">
        <f>IF(Dietary_Sample[[#This Row],[Cook median]]=0,0,Dietary_Sample[[#This Row],[Cook max]]/Dietary_Sample[[#This Row],[Cook median]])</f>
        <v>1.1713379164463247</v>
      </c>
      <c r="BB22" s="12">
        <f>VLOOKUP(A22,Summary!$1:$1048576,2,FALSE)</f>
        <v>2</v>
      </c>
    </row>
    <row r="23" spans="1:54" x14ac:dyDescent="0.55000000000000004">
      <c r="A23" s="10">
        <v>315</v>
      </c>
      <c r="B23" s="10" t="s">
        <v>54</v>
      </c>
      <c r="C23" s="10">
        <f>VLOOKUP($A23,'SAS Data'!$1:$1048576,MATCH(C$1,'SAS Data'!$3:$3,0),FALSE)</f>
        <v>0</v>
      </c>
      <c r="D23" s="10">
        <f>VLOOKUP($A23,'SAS Data'!$1:$1048576,MATCH(D$1,'SAS Data'!$3:$3,0),FALSE)</f>
        <v>0</v>
      </c>
      <c r="E23" s="10">
        <f t="shared" si="1"/>
        <v>0</v>
      </c>
      <c r="F23" s="11">
        <f>VLOOKUP($A23,'SAS Data'!$1:$1048576,MATCH(F$1,'SAS Data'!$3:$3,0),FALSE)</f>
        <v>26.739381179055293</v>
      </c>
      <c r="G23" s="12">
        <f>+Dietary_Sample[[#This Row],[Diet Cph]]*Dietary_Sample[[#This Row],[Diet Hrsn]]</f>
        <v>584202</v>
      </c>
      <c r="H2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407646.20303383894</v>
      </c>
      <c r="I23" s="17">
        <f>+Dietary_Sample[[#This Row],[Employee count Sample Data Aide]]/Dietary_Sample[[#This Row],[Total aide &amp; Cook]]*Dietary_Sample[[#This Row],[Diet Hrsn]]</f>
        <v>16750.133333333335</v>
      </c>
      <c r="J23" s="13">
        <f>IF(Dietary_Sample[[#This Row],[Aide Hours]]=0,0,Dietary_Sample[[#This Row],[Aide cost estimator]]/Dietary_Sample[[#This Row],[Aide Hours]])</f>
        <v>24.336893021777275</v>
      </c>
      <c r="K2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176555.79696616103</v>
      </c>
      <c r="L23" s="17">
        <f>+Dietary_Sample[[#This Row],[Employee count Sample Data Cook]]/Dietary_Sample[[#This Row],[Total aide &amp; Cook]]*Dietary_Sample[[#This Row],[Diet Hrsn]]</f>
        <v>5097.8666666666668</v>
      </c>
      <c r="M23" s="13">
        <f>IF(Dietary_Sample[[#This Row],[Cook Hours]]=0,0,Dietary_Sample[[#This Row],[Cook cost estimator]]/Dietary_Sample[[#This Row],[Cook Hours]])</f>
        <v>34.633270838683046</v>
      </c>
      <c r="N23" s="12">
        <f>VLOOKUP(A23,'Estimator data 120523'!$A:$F,5,FALSE)</f>
        <v>584202</v>
      </c>
      <c r="O23" s="12">
        <f>VLOOKUP($A23,'SAS Data'!$1:$1048576,MATCH(O$1,'SAS Data'!$3:$3,0),FALSE)</f>
        <v>21848</v>
      </c>
      <c r="P23" s="13">
        <f>+Dietary_Sample[[#This Row],[Cost Estimator]]/Dietary_Sample[[#This Row],[Diet Hrsn]]</f>
        <v>26.73938117905529</v>
      </c>
      <c r="Q23" s="10">
        <f>COUNTIFS('Dietary Detail'!$R:$R,$A23,'Dietary Detail'!$U:$U,RIGHT(Q$1,4))</f>
        <v>23</v>
      </c>
      <c r="R23" s="10">
        <f>COUNTIFS('Dietary Detail'!$R:$R,$A23,'Dietary Detail'!$U:$U,RIGHT(R$1,4))</f>
        <v>7</v>
      </c>
      <c r="S23" s="10">
        <f>+Dietary_Sample[[#This Row],[Employee count Sample Data Aide]]+Dietary_Sample[[#This Row],[Employee count Sample Data Cook]]</f>
        <v>30</v>
      </c>
      <c r="T23" s="13">
        <v>15.25</v>
      </c>
      <c r="U23" s="13">
        <v>23.76</v>
      </c>
      <c r="V23" s="13">
        <v>17.68</v>
      </c>
      <c r="W23" s="13">
        <v>18.988695652173913</v>
      </c>
      <c r="X23" s="13">
        <v>18.190000000000001</v>
      </c>
      <c r="Y23" s="13">
        <v>26.69</v>
      </c>
      <c r="Z23" s="13">
        <v>25.16</v>
      </c>
      <c r="AA23" s="13">
        <v>24.188571428571429</v>
      </c>
      <c r="AB23" s="13">
        <f>IF(AND(Dietary_Sample[[#This Row],[Aide median]]=0,Dietary_Sample[[#This Row],[Cook median]]=0),0,IF(Dietary_Sample[[#This Row],[Aide median]]=0,1,Dietary_Sample[[#This Row],[Cook median]]/Dietary_Sample[[#This Row],[Aide median]]))</f>
        <v>1.4230769230769231</v>
      </c>
      <c r="AC23" s="13">
        <f>IF(AND(Dietary_Sample[[#This Row],[Aide average]]=0,Dietary_Sample[[#This Row],[Cook average]]=0),0,IF(Dietary_Sample[[#This Row],[Aide average]]=0,1,Dietary_Sample[[#This Row],[Cook average]]/Dietary_Sample[[#This Row],[Aide average]]))</f>
        <v>1.2738405981983396</v>
      </c>
      <c r="AD23" s="37">
        <f>COUNTIFS('Dietary Detail'!$R:$R,$A23,'Dietary Detail'!$T:$T,"&lt;"&amp;V23,'Dietary Detail'!$U:$U,RIGHT(AD$1,4))</f>
        <v>10</v>
      </c>
      <c r="AE23" s="37">
        <f>COUNTIFS('Dietary Detail'!$R:$R,$A23,'Dietary Detail'!$T:$T,"&lt;"&amp;W23,'Dietary Detail'!$U:$U,RIGHT(AE$1,4))</f>
        <v>13</v>
      </c>
      <c r="AF23" s="37">
        <f>COUNTIFS('Dietary Detail'!$R:$R,$A23,'Dietary Detail'!$T:$T,"&lt;"&amp;$BG$3,'Dietary Detail'!$U:$U,RIGHT(AF$1,4))</f>
        <v>23</v>
      </c>
      <c r="AG23" s="37">
        <f>COUNTIFS('Dietary Detail'!$R:$R,$A23,'Dietary Detail'!$T:$T,"&lt;"&amp;$BG$4,'Dietary Detail'!$U:$U,RIGHT(AG$1,4))</f>
        <v>10</v>
      </c>
      <c r="AH23" s="37">
        <f>COUNTIFS('Dietary Detail'!$R:$R,$A23,'Dietary Detail'!$T:$T,"&lt;"&amp;$BG$5,'Dietary Detail'!$U:$U,RIGHT(AH$1,4))</f>
        <v>10</v>
      </c>
      <c r="AI23" s="37">
        <f>COUNTIFS('Dietary Detail'!$R:$R,$A23,'Dietary Detail'!$T:$T,"&lt;"&amp;Z23,'Dietary Detail'!$U:$U,RIGHT(AI$1,4))</f>
        <v>2</v>
      </c>
      <c r="AJ23" s="37">
        <f>COUNTIFS('Dietary Detail'!$R:$R,$A23,'Dietary Detail'!$T:$T,"&lt;"&amp;AA23,'Dietary Detail'!$U:$U,RIGHT(AJ$1,4))</f>
        <v>2</v>
      </c>
      <c r="AK23" s="37">
        <f>COUNTIFS('Dietary Detail'!$R:$R,$A23,'Dietary Detail'!$T:$T,"&lt;"&amp;$BH$3,'Dietary Detail'!$U:$U,RIGHT(AK$1,4))</f>
        <v>2</v>
      </c>
      <c r="AL23" s="37">
        <f>COUNTIFS('Dietary Detail'!$R:$R,$A23,'Dietary Detail'!$T:$T,"&lt;"&amp;$BH$4,'Dietary Detail'!$U:$U,RIGHT(AL$1,4))</f>
        <v>1</v>
      </c>
      <c r="AM23" s="37">
        <f>COUNTIFS('Dietary Detail'!$R:$R,$A23,'Dietary Detail'!$T:$T,"&lt;"&amp;$BH$5,'Dietary Detail'!$U:$U,RIGHT(AM$1,4))</f>
        <v>1</v>
      </c>
      <c r="AN23" s="12">
        <f>+Dietary_Sample[[#This Row],[Aide median]]*Dietary_Sample[[#This Row],[Aide Hours]]</f>
        <v>296142.35733333335</v>
      </c>
      <c r="AO23" s="12">
        <f>+Dietary_Sample[[#This Row],[Aide average]]*Dietary_Sample[[#This Row],[Aide Hours]]</f>
        <v>318063.18400000001</v>
      </c>
      <c r="AP23" s="12">
        <f>+Dietary_Sample[[#This Row],[Cook median]]*Dietary_Sample[[#This Row],[Cook Hours]]</f>
        <v>128262.32533333334</v>
      </c>
      <c r="AQ23" s="12">
        <f>+Dietary_Sample[[#This Row],[Cook average]]*Dietary_Sample[[#This Row],[Cook Hours]]</f>
        <v>123310.11200000001</v>
      </c>
      <c r="AR23" s="12">
        <f>+Dietary_Sample[[#This Row],[Est average Aide wage cost]]+Dietary_Sample[[#This Row],[Est average Cook wage cost]]</f>
        <v>441373.29600000003</v>
      </c>
      <c r="AS23" s="12">
        <f>+Dietary_Sample[[#This Row],[Est average Aide wage cost]]+Dietary_Sample[[#This Row],[Est average Cook wage cost]]</f>
        <v>441373.29600000003</v>
      </c>
      <c r="AT23" s="14">
        <f>IF(Dietary_Sample[[#This Row],[Aide cost estimator]]=0,0,Dietary_Sample[[#This Row],[Est median Aide wage cost ]]/Dietary_Sample[[#This Row],[Aide cost estimator]])</f>
        <v>0.72646906834736391</v>
      </c>
      <c r="AU23" s="14">
        <f>IF(Dietary_Sample[[#This Row],[Aide cost estimator]]=0,0,Dietary_Sample[[#This Row],[Est average Aide wage cost]]/Dietary_Sample[[#This Row],[Aide cost estimator]])</f>
        <v>0.78024321490760307</v>
      </c>
      <c r="AV23" s="14">
        <f>IF(Dietary_Sample[[#This Row],[Cook cost estimator]]=0,0,Dietary_Sample[[#This Row],[Est median Cook wage cost]]/Dietary_Sample[[#This Row],[Cook cost estimator]])</f>
        <v>0.72646906834736391</v>
      </c>
      <c r="AW23" s="14">
        <f>IF(Dietary_Sample[[#This Row],[Cook cost estimator]]=0,0,Dietary_Sample[[#This Row],[Est average Cook wage cost]]/Dietary_Sample[[#This Row],[Cook cost estimator]])</f>
        <v>0.69842006956947345</v>
      </c>
      <c r="AX23" s="14">
        <f>IF(Dietary_Sample[[#This Row],[Aide median]]=0,0,Dietary_Sample[[#This Row],[Aide min]]/Dietary_Sample[[#This Row],[Aide median]])</f>
        <v>0.86255656108597289</v>
      </c>
      <c r="AY23" s="14">
        <f>IF(Dietary_Sample[[#This Row],[Aide median]]=0,0,Dietary_Sample[[#This Row],[Aide max]]/Dietary_Sample[[#This Row],[Aide median]])</f>
        <v>1.3438914027149322</v>
      </c>
      <c r="AZ23" s="14">
        <f>IF(Dietary_Sample[[#This Row],[Cook median]]=0,0,Dietary_Sample[[#This Row],[Cook min]]/Dietary_Sample[[#This Row],[Cook median]])</f>
        <v>0.72297297297297303</v>
      </c>
      <c r="BA23" s="14">
        <f>IF(Dietary_Sample[[#This Row],[Cook median]]=0,0,Dietary_Sample[[#This Row],[Cook max]]/Dietary_Sample[[#This Row],[Cook median]])</f>
        <v>1.0608108108108107</v>
      </c>
      <c r="BB23" s="12">
        <f>VLOOKUP(A23,Summary!$1:$1048576,2,FALSE)</f>
        <v>2</v>
      </c>
    </row>
    <row r="24" spans="1:54" x14ac:dyDescent="0.55000000000000004">
      <c r="A24" s="10">
        <v>316</v>
      </c>
      <c r="B24" s="10" t="s">
        <v>54</v>
      </c>
      <c r="C24" s="10">
        <f>VLOOKUP($A24,'SAS Data'!$1:$1048576,MATCH(C$1,'SAS Data'!$3:$3,0),FALSE)</f>
        <v>6</v>
      </c>
      <c r="D24" s="10">
        <f>VLOOKUP($A24,'SAS Data'!$1:$1048576,MATCH(D$1,'SAS Data'!$3:$3,0),FALSE)</f>
        <v>7</v>
      </c>
      <c r="E24" s="10">
        <f t="shared" si="1"/>
        <v>13</v>
      </c>
      <c r="F24" s="11">
        <f>VLOOKUP($A24,'SAS Data'!$1:$1048576,MATCH(F$1,'SAS Data'!$3:$3,0),FALSE)</f>
        <v>20.654747225647348</v>
      </c>
      <c r="G24" s="12">
        <f>+Dietary_Sample[[#This Row],[Diet Cph]]*Dietary_Sample[[#This Row],[Diet Hrsn]]</f>
        <v>351771</v>
      </c>
      <c r="H2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205703.92628992628</v>
      </c>
      <c r="I24" s="17">
        <f>+Dietary_Sample[[#This Row],[Employee count Sample Data Aide]]/Dietary_Sample[[#This Row],[Total aide &amp; Cook]]*Dietary_Sample[[#This Row],[Diet Hrsn]]</f>
        <v>10837.90909090909</v>
      </c>
      <c r="J24" s="13">
        <f>IF(Dietary_Sample[[#This Row],[Aide Hours]]=0,0,Dietary_Sample[[#This Row],[Aide cost estimator]]/Dietary_Sample[[#This Row],[Aide Hours]])</f>
        <v>18.980037991135404</v>
      </c>
      <c r="K2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146067.07371007372</v>
      </c>
      <c r="L24" s="17">
        <f>+Dietary_Sample[[#This Row],[Employee count Sample Data Cook]]/Dietary_Sample[[#This Row],[Total aide &amp; Cook]]*Dietary_Sample[[#This Row],[Diet Hrsn]]</f>
        <v>6193.090909090909</v>
      </c>
      <c r="M24" s="13">
        <f>IF(Dietary_Sample[[#This Row],[Cook Hours]]=0,0,Dietary_Sample[[#This Row],[Cook cost estimator]]/Dietary_Sample[[#This Row],[Cook Hours]])</f>
        <v>23.585488386043259</v>
      </c>
      <c r="N24" s="12">
        <f>VLOOKUP(A24,'Estimator data 120523'!$A:$F,5,FALSE)</f>
        <v>351771</v>
      </c>
      <c r="O24" s="12">
        <f>VLOOKUP($A24,'SAS Data'!$1:$1048576,MATCH(O$1,'SAS Data'!$3:$3,0),FALSE)</f>
        <v>17031</v>
      </c>
      <c r="P24" s="13">
        <f>+Dietary_Sample[[#This Row],[Cost Estimator]]/Dietary_Sample[[#This Row],[Diet Hrsn]]</f>
        <v>20.654747225647348</v>
      </c>
      <c r="Q24" s="10">
        <f>COUNTIFS('Dietary Detail'!$R:$R,$A24,'Dietary Detail'!$U:$U,RIGHT(Q$1,4))</f>
        <v>7</v>
      </c>
      <c r="R24" s="10">
        <f>COUNTIFS('Dietary Detail'!$R:$R,$A24,'Dietary Detail'!$U:$U,RIGHT(R$1,4))</f>
        <v>4</v>
      </c>
      <c r="S24" s="10">
        <f>+Dietary_Sample[[#This Row],[Employee count Sample Data Aide]]+Dietary_Sample[[#This Row],[Employee count Sample Data Cook]]</f>
        <v>11</v>
      </c>
      <c r="T24" s="13">
        <v>16</v>
      </c>
      <c r="U24" s="13">
        <v>17.850000000000001</v>
      </c>
      <c r="V24" s="13">
        <v>17</v>
      </c>
      <c r="W24" s="13">
        <v>16.978571428571428</v>
      </c>
      <c r="X24" s="13">
        <v>19</v>
      </c>
      <c r="Y24" s="13">
        <v>25</v>
      </c>
      <c r="Z24" s="13">
        <v>21.125</v>
      </c>
      <c r="AA24" s="13">
        <v>21.5625</v>
      </c>
      <c r="AB24" s="13">
        <f>IF(AND(Dietary_Sample[[#This Row],[Aide median]]=0,Dietary_Sample[[#This Row],[Cook median]]=0),0,IF(Dietary_Sample[[#This Row],[Aide median]]=0,1,Dietary_Sample[[#This Row],[Cook median]]/Dietary_Sample[[#This Row],[Aide median]]))</f>
        <v>1.2426470588235294</v>
      </c>
      <c r="AC24" s="13">
        <f>IF(AND(Dietary_Sample[[#This Row],[Aide average]]=0,Dietary_Sample[[#This Row],[Cook average]]=0),0,IF(Dietary_Sample[[#This Row],[Aide average]]=0,1,Dietary_Sample[[#This Row],[Cook average]]/Dietary_Sample[[#This Row],[Aide average]]))</f>
        <v>1.2699831720656289</v>
      </c>
      <c r="AD24" s="37">
        <f>COUNTIFS('Dietary Detail'!$R:$R,$A24,'Dietary Detail'!$T:$T,"&lt;"&amp;V24,'Dietary Detail'!$U:$U,RIGHT(AD$1,4))</f>
        <v>1</v>
      </c>
      <c r="AE24" s="37">
        <f>COUNTIFS('Dietary Detail'!$R:$R,$A24,'Dietary Detail'!$T:$T,"&lt;"&amp;W24,'Dietary Detail'!$U:$U,RIGHT(AE$1,4))</f>
        <v>1</v>
      </c>
      <c r="AF24" s="37">
        <f>COUNTIFS('Dietary Detail'!$R:$R,$A24,'Dietary Detail'!$T:$T,"&lt;"&amp;$BG$3,'Dietary Detail'!$U:$U,RIGHT(AF$1,4))</f>
        <v>7</v>
      </c>
      <c r="AG24" s="37">
        <f>COUNTIFS('Dietary Detail'!$R:$R,$A24,'Dietary Detail'!$T:$T,"&lt;"&amp;$BG$4,'Dietary Detail'!$U:$U,RIGHT(AG$1,4))</f>
        <v>1</v>
      </c>
      <c r="AH24" s="37">
        <f>COUNTIFS('Dietary Detail'!$R:$R,$A24,'Dietary Detail'!$T:$T,"&lt;"&amp;$BG$5,'Dietary Detail'!$U:$U,RIGHT(AH$1,4))</f>
        <v>1</v>
      </c>
      <c r="AI24" s="37">
        <f>COUNTIFS('Dietary Detail'!$R:$R,$A24,'Dietary Detail'!$T:$T,"&lt;"&amp;Z24,'Dietary Detail'!$U:$U,RIGHT(AI$1,4))</f>
        <v>2</v>
      </c>
      <c r="AJ24" s="37">
        <f>COUNTIFS('Dietary Detail'!$R:$R,$A24,'Dietary Detail'!$T:$T,"&lt;"&amp;AA24,'Dietary Detail'!$U:$U,RIGHT(AJ$1,4))</f>
        <v>3</v>
      </c>
      <c r="AK24" s="37">
        <f>COUNTIFS('Dietary Detail'!$R:$R,$A24,'Dietary Detail'!$T:$T,"&lt;"&amp;$BH$3,'Dietary Detail'!$U:$U,RIGHT(AK$1,4))</f>
        <v>3</v>
      </c>
      <c r="AL24" s="37">
        <f>COUNTIFS('Dietary Detail'!$R:$R,$A24,'Dietary Detail'!$T:$T,"&lt;"&amp;$BH$4,'Dietary Detail'!$U:$U,RIGHT(AL$1,4))</f>
        <v>1</v>
      </c>
      <c r="AM24" s="37">
        <f>COUNTIFS('Dietary Detail'!$R:$R,$A24,'Dietary Detail'!$T:$T,"&lt;"&amp;$BH$5,'Dietary Detail'!$U:$U,RIGHT(AM$1,4))</f>
        <v>1</v>
      </c>
      <c r="AN24" s="12">
        <f>+Dietary_Sample[[#This Row],[Aide median]]*Dietary_Sample[[#This Row],[Aide Hours]]</f>
        <v>184244.45454545453</v>
      </c>
      <c r="AO24" s="12">
        <f>+Dietary_Sample[[#This Row],[Aide average]]*Dietary_Sample[[#This Row],[Aide Hours]]</f>
        <v>184012.21363636362</v>
      </c>
      <c r="AP24" s="12">
        <f>+Dietary_Sample[[#This Row],[Cook median]]*Dietary_Sample[[#This Row],[Cook Hours]]</f>
        <v>130829.04545454546</v>
      </c>
      <c r="AQ24" s="12">
        <f>+Dietary_Sample[[#This Row],[Cook average]]*Dietary_Sample[[#This Row],[Cook Hours]]</f>
        <v>133538.52272727274</v>
      </c>
      <c r="AR24" s="12">
        <f>+Dietary_Sample[[#This Row],[Est average Aide wage cost]]+Dietary_Sample[[#This Row],[Est average Cook wage cost]]</f>
        <v>317550.73636363633</v>
      </c>
      <c r="AS24" s="12">
        <f>+Dietary_Sample[[#This Row],[Est average Aide wage cost]]+Dietary_Sample[[#This Row],[Est average Cook wage cost]]</f>
        <v>317550.73636363633</v>
      </c>
      <c r="AT24" s="14">
        <f>IF(Dietary_Sample[[#This Row],[Aide cost estimator]]=0,0,Dietary_Sample[[#This Row],[Est median Aide wage cost ]]/Dietary_Sample[[#This Row],[Aide cost estimator]])</f>
        <v>0.89567786997791177</v>
      </c>
      <c r="AU24" s="14">
        <f>IF(Dietary_Sample[[#This Row],[Aide cost estimator]]=0,0,Dietary_Sample[[#This Row],[Est average Aide wage cost]]/Dietary_Sample[[#This Row],[Aide cost estimator]])</f>
        <v>0.89454886425945224</v>
      </c>
      <c r="AV24" s="14">
        <f>IF(Dietary_Sample[[#This Row],[Cook cost estimator]]=0,0,Dietary_Sample[[#This Row],[Est median Cook wage cost]]/Dietary_Sample[[#This Row],[Cook cost estimator]])</f>
        <v>0.89567786997791177</v>
      </c>
      <c r="AW24" s="14">
        <f>IF(Dietary_Sample[[#This Row],[Cook cost estimator]]=0,0,Dietary_Sample[[#This Row],[Est average Cook wage cost]]/Dietary_Sample[[#This Row],[Cook cost estimator]])</f>
        <v>0.91422741166384491</v>
      </c>
      <c r="AX24" s="14">
        <f>IF(Dietary_Sample[[#This Row],[Aide median]]=0,0,Dietary_Sample[[#This Row],[Aide min]]/Dietary_Sample[[#This Row],[Aide median]])</f>
        <v>0.94117647058823528</v>
      </c>
      <c r="AY24" s="14">
        <f>IF(Dietary_Sample[[#This Row],[Aide median]]=0,0,Dietary_Sample[[#This Row],[Aide max]]/Dietary_Sample[[#This Row],[Aide median]])</f>
        <v>1.05</v>
      </c>
      <c r="AZ24" s="14">
        <f>IF(Dietary_Sample[[#This Row],[Cook median]]=0,0,Dietary_Sample[[#This Row],[Cook min]]/Dietary_Sample[[#This Row],[Cook median]])</f>
        <v>0.89940828402366868</v>
      </c>
      <c r="BA24" s="14">
        <f>IF(Dietary_Sample[[#This Row],[Cook median]]=0,0,Dietary_Sample[[#This Row],[Cook max]]/Dietary_Sample[[#This Row],[Cook median]])</f>
        <v>1.1834319526627219</v>
      </c>
      <c r="BB24" s="12">
        <f>VLOOKUP(A24,Summary!$1:$1048576,2,FALSE)</f>
        <v>3</v>
      </c>
    </row>
    <row r="25" spans="1:54" x14ac:dyDescent="0.55000000000000004">
      <c r="A25" s="10">
        <v>318</v>
      </c>
      <c r="B25" s="10" t="s">
        <v>54</v>
      </c>
      <c r="C25" s="10">
        <f>VLOOKUP($A25,'SAS Data'!$1:$1048576,MATCH(C$1,'SAS Data'!$3:$3,0),FALSE)</f>
        <v>9</v>
      </c>
      <c r="D25" s="10">
        <f>VLOOKUP($A25,'SAS Data'!$1:$1048576,MATCH(D$1,'SAS Data'!$3:$3,0),FALSE)</f>
        <v>6</v>
      </c>
      <c r="E25" s="10">
        <f t="shared" si="1"/>
        <v>15</v>
      </c>
      <c r="F25" s="11">
        <f>VLOOKUP($A25,'SAS Data'!$1:$1048576,MATCH(F$1,'SAS Data'!$3:$3,0),FALSE)</f>
        <v>21.701972657173943</v>
      </c>
      <c r="G25" s="12">
        <f>+Dietary_Sample[[#This Row],[Diet Cph]]*Dietary_Sample[[#This Row],[Diet Hrsn]]</f>
        <v>458758</v>
      </c>
      <c r="H2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277635.27016356459</v>
      </c>
      <c r="I25" s="17">
        <f>+Dietary_Sample[[#This Row],[Employee count Sample Data Aide]]/Dietary_Sample[[#This Row],[Total aide &amp; Cook]]*Dietary_Sample[[#This Row],[Diet Hrsn]]</f>
        <v>14092.666666666666</v>
      </c>
      <c r="J25" s="13">
        <f>IF(Dietary_Sample[[#This Row],[Aide Hours]]=0,0,Dietary_Sample[[#This Row],[Aide cost estimator]]/Dietary_Sample[[#This Row],[Aide Hours]])</f>
        <v>19.700690914676517</v>
      </c>
      <c r="K2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181122.72983643546</v>
      </c>
      <c r="L25" s="17">
        <f>+Dietary_Sample[[#This Row],[Employee count Sample Data Cook]]/Dietary_Sample[[#This Row],[Total aide &amp; Cook]]*Dietary_Sample[[#This Row],[Diet Hrsn]]</f>
        <v>7046.333333333333</v>
      </c>
      <c r="M25" s="13">
        <f>IF(Dietary_Sample[[#This Row],[Cook Hours]]=0,0,Dietary_Sample[[#This Row],[Cook cost estimator]]/Dietary_Sample[[#This Row],[Cook Hours]])</f>
        <v>25.704536142168806</v>
      </c>
      <c r="N25" s="12">
        <f>VLOOKUP(A25,'Estimator data 120523'!$A:$F,5,FALSE)</f>
        <v>458758</v>
      </c>
      <c r="O25" s="12">
        <f>VLOOKUP($A25,'SAS Data'!$1:$1048576,MATCH(O$1,'SAS Data'!$3:$3,0),FALSE)</f>
        <v>21139</v>
      </c>
      <c r="P25" s="13">
        <f>+Dietary_Sample[[#This Row],[Cost Estimator]]/Dietary_Sample[[#This Row],[Diet Hrsn]]</f>
        <v>21.701972657173943</v>
      </c>
      <c r="Q25" s="10">
        <f>COUNTIFS('Dietary Detail'!$R:$R,$A25,'Dietary Detail'!$U:$U,RIGHT(Q$1,4))</f>
        <v>10</v>
      </c>
      <c r="R25" s="10">
        <f>COUNTIFS('Dietary Detail'!$R:$R,$A25,'Dietary Detail'!$U:$U,RIGHT(R$1,4))</f>
        <v>5</v>
      </c>
      <c r="S25" s="10">
        <f>+Dietary_Sample[[#This Row],[Employee count Sample Data Aide]]+Dietary_Sample[[#This Row],[Employee count Sample Data Cook]]</f>
        <v>15</v>
      </c>
      <c r="T25" s="13">
        <v>15</v>
      </c>
      <c r="U25" s="13">
        <v>19.18</v>
      </c>
      <c r="V25" s="13">
        <v>16.094999999999999</v>
      </c>
      <c r="W25" s="13">
        <v>16.425000000000001</v>
      </c>
      <c r="X25" s="13">
        <v>20</v>
      </c>
      <c r="Y25" s="13">
        <v>22.5</v>
      </c>
      <c r="Z25" s="13">
        <v>21</v>
      </c>
      <c r="AA25" s="13">
        <v>21.25</v>
      </c>
      <c r="AB25" s="13">
        <f>IF(AND(Dietary_Sample[[#This Row],[Aide median]]=0,Dietary_Sample[[#This Row],[Cook median]]=0),0,IF(Dietary_Sample[[#This Row],[Aide median]]=0,1,Dietary_Sample[[#This Row],[Cook median]]/Dietary_Sample[[#This Row],[Aide median]]))</f>
        <v>1.3047530288909601</v>
      </c>
      <c r="AC25" s="13">
        <f>IF(AND(Dietary_Sample[[#This Row],[Aide average]]=0,Dietary_Sample[[#This Row],[Cook average]]=0),0,IF(Dietary_Sample[[#This Row],[Aide average]]=0,1,Dietary_Sample[[#This Row],[Cook average]]/Dietary_Sample[[#This Row],[Aide average]]))</f>
        <v>1.2937595129375952</v>
      </c>
      <c r="AD25" s="37">
        <f>COUNTIFS('Dietary Detail'!$R:$R,$A25,'Dietary Detail'!$T:$T,"&lt;"&amp;V25,'Dietary Detail'!$U:$U,RIGHT(AD$1,4))</f>
        <v>5</v>
      </c>
      <c r="AE25" s="37">
        <f>COUNTIFS('Dietary Detail'!$R:$R,$A25,'Dietary Detail'!$T:$T,"&lt;"&amp;W25,'Dietary Detail'!$U:$U,RIGHT(AE$1,4))</f>
        <v>5</v>
      </c>
      <c r="AF25" s="37">
        <f>COUNTIFS('Dietary Detail'!$R:$R,$A25,'Dietary Detail'!$T:$T,"&lt;"&amp;$BG$3,'Dietary Detail'!$U:$U,RIGHT(AF$1,4))</f>
        <v>10</v>
      </c>
      <c r="AG25" s="37">
        <f>COUNTIFS('Dietary Detail'!$R:$R,$A25,'Dietary Detail'!$T:$T,"&lt;"&amp;$BG$4,'Dietary Detail'!$U:$U,RIGHT(AG$1,4))</f>
        <v>5</v>
      </c>
      <c r="AH25" s="37">
        <f>COUNTIFS('Dietary Detail'!$R:$R,$A25,'Dietary Detail'!$T:$T,"&lt;"&amp;$BG$5,'Dietary Detail'!$U:$U,RIGHT(AH$1,4))</f>
        <v>7</v>
      </c>
      <c r="AI25" s="37">
        <f>COUNTIFS('Dietary Detail'!$R:$R,$A25,'Dietary Detail'!$T:$T,"&lt;"&amp;Z25,'Dietary Detail'!$U:$U,RIGHT(AI$1,4))</f>
        <v>2</v>
      </c>
      <c r="AJ25" s="37">
        <f>COUNTIFS('Dietary Detail'!$R:$R,$A25,'Dietary Detail'!$T:$T,"&lt;"&amp;AA25,'Dietary Detail'!$U:$U,RIGHT(AJ$1,4))</f>
        <v>3</v>
      </c>
      <c r="AK25" s="37">
        <f>COUNTIFS('Dietary Detail'!$R:$R,$A25,'Dietary Detail'!$T:$T,"&lt;"&amp;$BH$3,'Dietary Detail'!$U:$U,RIGHT(AK$1,4))</f>
        <v>5</v>
      </c>
      <c r="AL25" s="37">
        <f>COUNTIFS('Dietary Detail'!$R:$R,$A25,'Dietary Detail'!$T:$T,"&lt;"&amp;$BH$4,'Dietary Detail'!$U:$U,RIGHT(AL$1,4))</f>
        <v>0</v>
      </c>
      <c r="AM25" s="37">
        <f>COUNTIFS('Dietary Detail'!$R:$R,$A25,'Dietary Detail'!$T:$T,"&lt;"&amp;$BH$5,'Dietary Detail'!$U:$U,RIGHT(AM$1,4))</f>
        <v>0</v>
      </c>
      <c r="AN25" s="12">
        <f>+Dietary_Sample[[#This Row],[Aide median]]*Dietary_Sample[[#This Row],[Aide Hours]]</f>
        <v>226821.46999999997</v>
      </c>
      <c r="AO25" s="12">
        <f>+Dietary_Sample[[#This Row],[Aide average]]*Dietary_Sample[[#This Row],[Aide Hours]]</f>
        <v>231472.05</v>
      </c>
      <c r="AP25" s="12">
        <f>+Dietary_Sample[[#This Row],[Cook median]]*Dietary_Sample[[#This Row],[Cook Hours]]</f>
        <v>147973</v>
      </c>
      <c r="AQ25" s="12">
        <f>+Dietary_Sample[[#This Row],[Cook average]]*Dietary_Sample[[#This Row],[Cook Hours]]</f>
        <v>149734.58333333331</v>
      </c>
      <c r="AR25" s="12">
        <f>+Dietary_Sample[[#This Row],[Est average Aide wage cost]]+Dietary_Sample[[#This Row],[Est average Cook wage cost]]</f>
        <v>381206.6333333333</v>
      </c>
      <c r="AS25" s="12">
        <f>+Dietary_Sample[[#This Row],[Est average Aide wage cost]]+Dietary_Sample[[#This Row],[Est average Cook wage cost]]</f>
        <v>381206.6333333333</v>
      </c>
      <c r="AT25" s="14">
        <f>IF(Dietary_Sample[[#This Row],[Aide cost estimator]]=0,0,Dietary_Sample[[#This Row],[Est median Aide wage cost ]]/Dietary_Sample[[#This Row],[Aide cost estimator]])</f>
        <v>0.8169764232994301</v>
      </c>
      <c r="AU25" s="14">
        <f>IF(Dietary_Sample[[#This Row],[Aide cost estimator]]=0,0,Dietary_Sample[[#This Row],[Est average Aide wage cost]]/Dietary_Sample[[#This Row],[Aide cost estimator]])</f>
        <v>0.83372710485822554</v>
      </c>
      <c r="AV25" s="14">
        <f>IF(Dietary_Sample[[#This Row],[Cook cost estimator]]=0,0,Dietary_Sample[[#This Row],[Est median Cook wage cost]]/Dietary_Sample[[#This Row],[Cook cost estimator]])</f>
        <v>0.81697642329942999</v>
      </c>
      <c r="AW25" s="14">
        <f>IF(Dietary_Sample[[#This Row],[Cook cost estimator]]=0,0,Dietary_Sample[[#This Row],[Est average Cook wage cost]]/Dietary_Sample[[#This Row],[Cook cost estimator]])</f>
        <v>0.82670233310061358</v>
      </c>
      <c r="AX25" s="14">
        <f>IF(Dietary_Sample[[#This Row],[Aide median]]=0,0,Dietary_Sample[[#This Row],[Aide min]]/Dietary_Sample[[#This Row],[Aide median]])</f>
        <v>0.93196644920782856</v>
      </c>
      <c r="AY25" s="14">
        <f>IF(Dietary_Sample[[#This Row],[Aide median]]=0,0,Dietary_Sample[[#This Row],[Aide max]]/Dietary_Sample[[#This Row],[Aide median]])</f>
        <v>1.1916744330537434</v>
      </c>
      <c r="AZ25" s="14">
        <f>IF(Dietary_Sample[[#This Row],[Cook median]]=0,0,Dietary_Sample[[#This Row],[Cook min]]/Dietary_Sample[[#This Row],[Cook median]])</f>
        <v>0.95238095238095233</v>
      </c>
      <c r="BA25" s="14">
        <f>IF(Dietary_Sample[[#This Row],[Cook median]]=0,0,Dietary_Sample[[#This Row],[Cook max]]/Dietary_Sample[[#This Row],[Cook median]])</f>
        <v>1.0714285714285714</v>
      </c>
      <c r="BB25" s="12">
        <f>VLOOKUP(A25,Summary!$1:$1048576,2,FALSE)</f>
        <v>2</v>
      </c>
    </row>
    <row r="26" spans="1:54" x14ac:dyDescent="0.55000000000000004">
      <c r="A26" s="10">
        <v>336</v>
      </c>
      <c r="B26" s="10" t="s">
        <v>54</v>
      </c>
      <c r="C26" s="10">
        <f>VLOOKUP($A26,'SAS Data'!$1:$1048576,MATCH(C$1,'SAS Data'!$3:$3,0),FALSE)</f>
        <v>0</v>
      </c>
      <c r="D26" s="10">
        <f>VLOOKUP($A26,'SAS Data'!$1:$1048576,MATCH(D$1,'SAS Data'!$3:$3,0),FALSE)</f>
        <v>0</v>
      </c>
      <c r="E26" s="10">
        <f t="shared" si="1"/>
        <v>0</v>
      </c>
      <c r="F26" s="11">
        <f>VLOOKUP($A26,'SAS Data'!$1:$1048576,MATCH(F$1,'SAS Data'!$3:$3,0),FALSE)</f>
        <v>38.847896440129453</v>
      </c>
      <c r="G26" s="12">
        <f>+Dietary_Sample[[#This Row],[Diet Cph]]*Dietary_Sample[[#This Row],[Diet Hrsn]]</f>
        <v>12004.000000000002</v>
      </c>
      <c r="H2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7156.0114032309157</v>
      </c>
      <c r="I26" s="17">
        <f>+Dietary_Sample[[#This Row],[Employee count Sample Data Aide]]/Dietary_Sample[[#This Row],[Total aide &amp; Cook]]*Dietary_Sample[[#This Row],[Diet Hrsn]]</f>
        <v>193.125</v>
      </c>
      <c r="J26" s="13">
        <f>IF(Dietary_Sample[[#This Row],[Aide Hours]]=0,0,Dietary_Sample[[#This Row],[Aide cost estimator]]/Dietary_Sample[[#This Row],[Aide Hours]])</f>
        <v>37.053780728703771</v>
      </c>
      <c r="K2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4847.9885967690852</v>
      </c>
      <c r="L26" s="17">
        <f>+Dietary_Sample[[#This Row],[Employee count Sample Data Cook]]/Dietary_Sample[[#This Row],[Total aide &amp; Cook]]*Dietary_Sample[[#This Row],[Diet Hrsn]]</f>
        <v>115.875</v>
      </c>
      <c r="M26" s="13">
        <f>IF(Dietary_Sample[[#This Row],[Cook Hours]]=0,0,Dietary_Sample[[#This Row],[Cook cost estimator]]/Dietary_Sample[[#This Row],[Cook Hours]])</f>
        <v>41.838089292505593</v>
      </c>
      <c r="N26" s="12">
        <f>VLOOKUP(A26,'Estimator data 120523'!$A:$F,5,FALSE)</f>
        <v>12004</v>
      </c>
      <c r="O26" s="12">
        <f>VLOOKUP($A26,'SAS Data'!$1:$1048576,MATCH(O$1,'SAS Data'!$3:$3,0),FALSE)</f>
        <v>309</v>
      </c>
      <c r="P26" s="13">
        <f>+Dietary_Sample[[#This Row],[Cost Estimator]]/Dietary_Sample[[#This Row],[Diet Hrsn]]</f>
        <v>38.847896440129453</v>
      </c>
      <c r="Q26" s="10">
        <f>COUNTIFS('Dietary Detail'!$R:$R,$A26,'Dietary Detail'!$U:$U,RIGHT(Q$1,4))</f>
        <v>5</v>
      </c>
      <c r="R26" s="10">
        <f>COUNTIFS('Dietary Detail'!$R:$R,$A26,'Dietary Detail'!$U:$U,RIGHT(R$1,4))</f>
        <v>3</v>
      </c>
      <c r="S26" s="10">
        <f>+Dietary_Sample[[#This Row],[Employee count Sample Data Aide]]+Dietary_Sample[[#This Row],[Employee count Sample Data Cook]]</f>
        <v>8</v>
      </c>
      <c r="T26" s="13">
        <v>17.690000000000001</v>
      </c>
      <c r="U26" s="13">
        <v>20.010000000000002</v>
      </c>
      <c r="V26" s="13">
        <v>18.82</v>
      </c>
      <c r="W26" s="13">
        <v>18.968</v>
      </c>
      <c r="X26" s="13">
        <v>19.43</v>
      </c>
      <c r="Y26" s="13">
        <v>21.25</v>
      </c>
      <c r="Z26" s="13">
        <v>21.25</v>
      </c>
      <c r="AA26" s="13">
        <v>20.643333333333334</v>
      </c>
      <c r="AB26" s="13">
        <f>IF(AND(Dietary_Sample[[#This Row],[Aide median]]=0,Dietary_Sample[[#This Row],[Cook median]]=0),0,IF(Dietary_Sample[[#This Row],[Aide median]]=0,1,Dietary_Sample[[#This Row],[Cook median]]/Dietary_Sample[[#This Row],[Aide median]]))</f>
        <v>1.1291179596174283</v>
      </c>
      <c r="AC26" s="13">
        <f>IF(AND(Dietary_Sample[[#This Row],[Aide average]]=0,Dietary_Sample[[#This Row],[Cook average]]=0),0,IF(Dietary_Sample[[#This Row],[Aide average]]=0,1,Dietary_Sample[[#This Row],[Cook average]]/Dietary_Sample[[#This Row],[Aide average]]))</f>
        <v>1.0883241951356672</v>
      </c>
      <c r="AD26" s="37">
        <f>COUNTIFS('Dietary Detail'!$R:$R,$A26,'Dietary Detail'!$T:$T,"&lt;"&amp;V26,'Dietary Detail'!$U:$U,RIGHT(AD$1,4))</f>
        <v>1</v>
      </c>
      <c r="AE26" s="37">
        <f>COUNTIFS('Dietary Detail'!$R:$R,$A26,'Dietary Detail'!$T:$T,"&lt;"&amp;W26,'Dietary Detail'!$U:$U,RIGHT(AE$1,4))</f>
        <v>3</v>
      </c>
      <c r="AF26" s="37">
        <f>COUNTIFS('Dietary Detail'!$R:$R,$A26,'Dietary Detail'!$T:$T,"&lt;"&amp;$BG$3,'Dietary Detail'!$U:$U,RIGHT(AF$1,4))</f>
        <v>5</v>
      </c>
      <c r="AG26" s="37">
        <f>COUNTIFS('Dietary Detail'!$R:$R,$A26,'Dietary Detail'!$T:$T,"&lt;"&amp;$BG$4,'Dietary Detail'!$U:$U,RIGHT(AG$1,4))</f>
        <v>0</v>
      </c>
      <c r="AH26" s="37">
        <f>COUNTIFS('Dietary Detail'!$R:$R,$A26,'Dietary Detail'!$T:$T,"&lt;"&amp;$BG$5,'Dietary Detail'!$U:$U,RIGHT(AH$1,4))</f>
        <v>0</v>
      </c>
      <c r="AI26" s="37">
        <f>COUNTIFS('Dietary Detail'!$R:$R,$A26,'Dietary Detail'!$T:$T,"&lt;"&amp;Z26,'Dietary Detail'!$U:$U,RIGHT(AI$1,4))</f>
        <v>1</v>
      </c>
      <c r="AJ26" s="37">
        <f>COUNTIFS('Dietary Detail'!$R:$R,$A26,'Dietary Detail'!$T:$T,"&lt;"&amp;AA26,'Dietary Detail'!$U:$U,RIGHT(AJ$1,4))</f>
        <v>1</v>
      </c>
      <c r="AK26" s="37">
        <f>COUNTIFS('Dietary Detail'!$R:$R,$A26,'Dietary Detail'!$T:$T,"&lt;"&amp;$BH$3,'Dietary Detail'!$U:$U,RIGHT(AK$1,4))</f>
        <v>3</v>
      </c>
      <c r="AL26" s="37">
        <f>COUNTIFS('Dietary Detail'!$R:$R,$A26,'Dietary Detail'!$T:$T,"&lt;"&amp;$BH$4,'Dietary Detail'!$U:$U,RIGHT(AL$1,4))</f>
        <v>1</v>
      </c>
      <c r="AM26" s="37">
        <f>COUNTIFS('Dietary Detail'!$R:$R,$A26,'Dietary Detail'!$T:$T,"&lt;"&amp;$BH$5,'Dietary Detail'!$U:$U,RIGHT(AM$1,4))</f>
        <v>1</v>
      </c>
      <c r="AN26" s="12">
        <f>+Dietary_Sample[[#This Row],[Aide median]]*Dietary_Sample[[#This Row],[Aide Hours]]</f>
        <v>3634.6125000000002</v>
      </c>
      <c r="AO26" s="12">
        <f>+Dietary_Sample[[#This Row],[Aide average]]*Dietary_Sample[[#This Row],[Aide Hours]]</f>
        <v>3663.1950000000002</v>
      </c>
      <c r="AP26" s="12">
        <f>+Dietary_Sample[[#This Row],[Cook median]]*Dietary_Sample[[#This Row],[Cook Hours]]</f>
        <v>2462.34375</v>
      </c>
      <c r="AQ26" s="12">
        <f>+Dietary_Sample[[#This Row],[Cook average]]*Dietary_Sample[[#This Row],[Cook Hours]]</f>
        <v>2392.0462500000003</v>
      </c>
      <c r="AR26" s="12">
        <f>+Dietary_Sample[[#This Row],[Est average Aide wage cost]]+Dietary_Sample[[#This Row],[Est average Cook wage cost]]</f>
        <v>6055.2412500000009</v>
      </c>
      <c r="AS26" s="12">
        <f>+Dietary_Sample[[#This Row],[Est average Aide wage cost]]+Dietary_Sample[[#This Row],[Est average Cook wage cost]]</f>
        <v>6055.2412500000009</v>
      </c>
      <c r="AT26" s="14">
        <f>IF(Dietary_Sample[[#This Row],[Aide cost estimator]]=0,0,Dietary_Sample[[#This Row],[Est median Aide wage cost ]]/Dietary_Sample[[#This Row],[Aide cost estimator]])</f>
        <v>0.50791038403865374</v>
      </c>
      <c r="AU26" s="14">
        <f>IF(Dietary_Sample[[#This Row],[Aide cost estimator]]=0,0,Dietary_Sample[[#This Row],[Est average Aide wage cost]]/Dietary_Sample[[#This Row],[Aide cost estimator]])</f>
        <v>0.51190457834459002</v>
      </c>
      <c r="AV26" s="14">
        <f>IF(Dietary_Sample[[#This Row],[Cook cost estimator]]=0,0,Dietary_Sample[[#This Row],[Est median Cook wage cost]]/Dietary_Sample[[#This Row],[Cook cost estimator]])</f>
        <v>0.50791038403865374</v>
      </c>
      <c r="AW26" s="14">
        <f>IF(Dietary_Sample[[#This Row],[Cook cost estimator]]=0,0,Dietary_Sample[[#This Row],[Est average Cook wage cost]]/Dietary_Sample[[#This Row],[Cook cost estimator]])</f>
        <v>0.49341004052570714</v>
      </c>
      <c r="AX26" s="14">
        <f>IF(Dietary_Sample[[#This Row],[Aide median]]=0,0,Dietary_Sample[[#This Row],[Aide min]]/Dietary_Sample[[#This Row],[Aide median]])</f>
        <v>0.93995749202975565</v>
      </c>
      <c r="AY26" s="14">
        <f>IF(Dietary_Sample[[#This Row],[Aide median]]=0,0,Dietary_Sample[[#This Row],[Aide max]]/Dietary_Sample[[#This Row],[Aide median]])</f>
        <v>1.0632306057385761</v>
      </c>
      <c r="AZ26" s="14">
        <f>IF(Dietary_Sample[[#This Row],[Cook median]]=0,0,Dietary_Sample[[#This Row],[Cook min]]/Dietary_Sample[[#This Row],[Cook median]])</f>
        <v>0.91435294117647059</v>
      </c>
      <c r="BA26" s="14">
        <f>IF(Dietary_Sample[[#This Row],[Cook median]]=0,0,Dietary_Sample[[#This Row],[Cook max]]/Dietary_Sample[[#This Row],[Cook median]])</f>
        <v>1</v>
      </c>
      <c r="BB26" s="12">
        <f>VLOOKUP(A26,Summary!$1:$1048576,2,FALSE)</f>
        <v>1</v>
      </c>
    </row>
    <row r="27" spans="1:54" x14ac:dyDescent="0.55000000000000004">
      <c r="A27" s="10">
        <v>346</v>
      </c>
      <c r="B27" s="10" t="s">
        <v>54</v>
      </c>
      <c r="C27" s="10">
        <f>VLOOKUP($A27,'SAS Data'!$1:$1048576,MATCH(C$1,'SAS Data'!$3:$3,0),FALSE)</f>
        <v>4</v>
      </c>
      <c r="D27" s="10">
        <f>VLOOKUP($A27,'SAS Data'!$1:$1048576,MATCH(D$1,'SAS Data'!$3:$3,0),FALSE)</f>
        <v>1</v>
      </c>
      <c r="E27" s="10">
        <f t="shared" si="1"/>
        <v>5</v>
      </c>
      <c r="F27" s="11">
        <f>VLOOKUP($A27,'SAS Data'!$1:$1048576,MATCH(F$1,'SAS Data'!$3:$3,0),FALSE)</f>
        <v>15.872566557929074</v>
      </c>
      <c r="G27" s="12">
        <f>+Dietary_Sample[[#This Row],[Diet Cph]]*Dietary_Sample[[#This Row],[Diet Hrsn]]</f>
        <v>150837</v>
      </c>
      <c r="H2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43791.38709677419</v>
      </c>
      <c r="I27" s="17">
        <f>+Dietary_Sample[[#This Row],[Employee count Sample Data Aide]]/Dietary_Sample[[#This Row],[Total aide &amp; Cook]]*Dietary_Sample[[#This Row],[Diet Hrsn]]</f>
        <v>3167.6666666666665</v>
      </c>
      <c r="J27" s="13">
        <f>IF(Dietary_Sample[[#This Row],[Aide Hours]]=0,0,Dietary_Sample[[#This Row],[Aide cost estimator]]/Dietary_Sample[[#This Row],[Aide Hours]])</f>
        <v>13.824493453680162</v>
      </c>
      <c r="K2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107045.61290322582</v>
      </c>
      <c r="L27" s="17">
        <f>+Dietary_Sample[[#This Row],[Employee count Sample Data Cook]]/Dietary_Sample[[#This Row],[Total aide &amp; Cook]]*Dietary_Sample[[#This Row],[Diet Hrsn]]</f>
        <v>6335.333333333333</v>
      </c>
      <c r="M27" s="13">
        <f>IF(Dietary_Sample[[#This Row],[Cook Hours]]=0,0,Dietary_Sample[[#This Row],[Cook cost estimator]]/Dietary_Sample[[#This Row],[Cook Hours]])</f>
        <v>16.896603110053533</v>
      </c>
      <c r="N27" s="12">
        <f>VLOOKUP(A27,'Estimator data 120523'!$A:$F,5,FALSE)</f>
        <v>150837</v>
      </c>
      <c r="O27" s="12">
        <f>VLOOKUP($A27,'SAS Data'!$1:$1048576,MATCH(O$1,'SAS Data'!$3:$3,0),FALSE)</f>
        <v>9503</v>
      </c>
      <c r="P27" s="13">
        <f>+Dietary_Sample[[#This Row],[Cost Estimator]]/Dietary_Sample[[#This Row],[Diet Hrsn]]</f>
        <v>15.872566557929074</v>
      </c>
      <c r="Q27" s="10">
        <f>COUNTIFS('Dietary Detail'!$R:$R,$A27,'Dietary Detail'!$U:$U,RIGHT(Q$1,4))</f>
        <v>2</v>
      </c>
      <c r="R27" s="10">
        <f>COUNTIFS('Dietary Detail'!$R:$R,$A27,'Dietary Detail'!$U:$U,RIGHT(R$1,4))</f>
        <v>4</v>
      </c>
      <c r="S27" s="10">
        <f>+Dietary_Sample[[#This Row],[Employee count Sample Data Aide]]+Dietary_Sample[[#This Row],[Employee count Sample Data Cook]]</f>
        <v>6</v>
      </c>
      <c r="T27" s="13">
        <v>15.5</v>
      </c>
      <c r="U27" s="13">
        <v>16</v>
      </c>
      <c r="V27" s="13">
        <v>15.75</v>
      </c>
      <c r="W27" s="13">
        <v>15.75</v>
      </c>
      <c r="X27" s="13">
        <v>17</v>
      </c>
      <c r="Y27" s="13">
        <v>19.5</v>
      </c>
      <c r="Z27" s="13">
        <v>19.25</v>
      </c>
      <c r="AA27" s="13">
        <v>18.75</v>
      </c>
      <c r="AB27" s="13">
        <f>IF(AND(Dietary_Sample[[#This Row],[Aide median]]=0,Dietary_Sample[[#This Row],[Cook median]]=0),0,IF(Dietary_Sample[[#This Row],[Aide median]]=0,1,Dietary_Sample[[#This Row],[Cook median]]/Dietary_Sample[[#This Row],[Aide median]]))</f>
        <v>1.2222222222222223</v>
      </c>
      <c r="AC27" s="13">
        <f>IF(AND(Dietary_Sample[[#This Row],[Aide average]]=0,Dietary_Sample[[#This Row],[Cook average]]=0),0,IF(Dietary_Sample[[#This Row],[Aide average]]=0,1,Dietary_Sample[[#This Row],[Cook average]]/Dietary_Sample[[#This Row],[Aide average]]))</f>
        <v>1.1904761904761905</v>
      </c>
      <c r="AD27" s="37">
        <f>COUNTIFS('Dietary Detail'!$R:$R,$A27,'Dietary Detail'!$T:$T,"&lt;"&amp;V27,'Dietary Detail'!$U:$U,RIGHT(AD$1,4))</f>
        <v>1</v>
      </c>
      <c r="AE27" s="37">
        <f>COUNTIFS('Dietary Detail'!$R:$R,$A27,'Dietary Detail'!$T:$T,"&lt;"&amp;W27,'Dietary Detail'!$U:$U,RIGHT(AE$1,4))</f>
        <v>1</v>
      </c>
      <c r="AF27" s="37">
        <f>COUNTIFS('Dietary Detail'!$R:$R,$A27,'Dietary Detail'!$T:$T,"&lt;"&amp;$BG$3,'Dietary Detail'!$U:$U,RIGHT(AF$1,4))</f>
        <v>2</v>
      </c>
      <c r="AG27" s="37">
        <f>COUNTIFS('Dietary Detail'!$R:$R,$A27,'Dietary Detail'!$T:$T,"&lt;"&amp;$BG$4,'Dietary Detail'!$U:$U,RIGHT(AG$1,4))</f>
        <v>2</v>
      </c>
      <c r="AH27" s="37">
        <f>COUNTIFS('Dietary Detail'!$R:$R,$A27,'Dietary Detail'!$T:$T,"&lt;"&amp;$BG$5,'Dietary Detail'!$U:$U,RIGHT(AH$1,4))</f>
        <v>2</v>
      </c>
      <c r="AI27" s="37">
        <f>COUNTIFS('Dietary Detail'!$R:$R,$A27,'Dietary Detail'!$T:$T,"&lt;"&amp;Z27,'Dietary Detail'!$U:$U,RIGHT(AI$1,4))</f>
        <v>2</v>
      </c>
      <c r="AJ27" s="37">
        <f>COUNTIFS('Dietary Detail'!$R:$R,$A27,'Dietary Detail'!$T:$T,"&lt;"&amp;AA27,'Dietary Detail'!$U:$U,RIGHT(AJ$1,4))</f>
        <v>1</v>
      </c>
      <c r="AK27" s="37">
        <f>COUNTIFS('Dietary Detail'!$R:$R,$A27,'Dietary Detail'!$T:$T,"&lt;"&amp;$BH$3,'Dietary Detail'!$U:$U,RIGHT(AK$1,4))</f>
        <v>4</v>
      </c>
      <c r="AL27" s="37">
        <f>COUNTIFS('Dietary Detail'!$R:$R,$A27,'Dietary Detail'!$T:$T,"&lt;"&amp;$BH$4,'Dietary Detail'!$U:$U,RIGHT(AL$1,4))</f>
        <v>4</v>
      </c>
      <c r="AM27" s="37">
        <f>COUNTIFS('Dietary Detail'!$R:$R,$A27,'Dietary Detail'!$T:$T,"&lt;"&amp;$BH$5,'Dietary Detail'!$U:$U,RIGHT(AM$1,4))</f>
        <v>4</v>
      </c>
      <c r="AN27" s="12">
        <f>+Dietary_Sample[[#This Row],[Aide median]]*Dietary_Sample[[#This Row],[Aide Hours]]</f>
        <v>49890.75</v>
      </c>
      <c r="AO27" s="12">
        <f>+Dietary_Sample[[#This Row],[Aide average]]*Dietary_Sample[[#This Row],[Aide Hours]]</f>
        <v>49890.75</v>
      </c>
      <c r="AP27" s="12">
        <f>+Dietary_Sample[[#This Row],[Cook median]]*Dietary_Sample[[#This Row],[Cook Hours]]</f>
        <v>121955.16666666666</v>
      </c>
      <c r="AQ27" s="12">
        <f>+Dietary_Sample[[#This Row],[Cook average]]*Dietary_Sample[[#This Row],[Cook Hours]]</f>
        <v>118787.5</v>
      </c>
      <c r="AR27" s="12">
        <f>+Dietary_Sample[[#This Row],[Est average Aide wage cost]]+Dietary_Sample[[#This Row],[Est average Cook wage cost]]</f>
        <v>168678.25</v>
      </c>
      <c r="AS27" s="12">
        <f>+Dietary_Sample[[#This Row],[Est average Aide wage cost]]+Dietary_Sample[[#This Row],[Est average Cook wage cost]]</f>
        <v>168678.25</v>
      </c>
      <c r="AT27" s="14">
        <f>IF(Dietary_Sample[[#This Row],[Aide cost estimator]]=0,0,Dietary_Sample[[#This Row],[Est median Aide wage cost ]]/Dietary_Sample[[#This Row],[Aide cost estimator]])</f>
        <v>1.1392822494922776</v>
      </c>
      <c r="AU27" s="14">
        <f>IF(Dietary_Sample[[#This Row],[Aide cost estimator]]=0,0,Dietary_Sample[[#This Row],[Est average Aide wage cost]]/Dietary_Sample[[#This Row],[Aide cost estimator]])</f>
        <v>1.1392822494922776</v>
      </c>
      <c r="AV27" s="14">
        <f>IF(Dietary_Sample[[#This Row],[Cook cost estimator]]=0,0,Dietary_Sample[[#This Row],[Est median Cook wage cost]]/Dietary_Sample[[#This Row],[Cook cost estimator]])</f>
        <v>1.1392822494922774</v>
      </c>
      <c r="AW27" s="14">
        <f>IF(Dietary_Sample[[#This Row],[Cook cost estimator]]=0,0,Dietary_Sample[[#This Row],[Est average Cook wage cost]]/Dietary_Sample[[#This Row],[Cook cost estimator]])</f>
        <v>1.1096905027522184</v>
      </c>
      <c r="AX27" s="14">
        <f>IF(Dietary_Sample[[#This Row],[Aide median]]=0,0,Dietary_Sample[[#This Row],[Aide min]]/Dietary_Sample[[#This Row],[Aide median]])</f>
        <v>0.98412698412698407</v>
      </c>
      <c r="AY27" s="14">
        <f>IF(Dietary_Sample[[#This Row],[Aide median]]=0,0,Dietary_Sample[[#This Row],[Aide max]]/Dietary_Sample[[#This Row],[Aide median]])</f>
        <v>1.0158730158730158</v>
      </c>
      <c r="AZ27" s="14">
        <f>IF(Dietary_Sample[[#This Row],[Cook median]]=0,0,Dietary_Sample[[#This Row],[Cook min]]/Dietary_Sample[[#This Row],[Cook median]])</f>
        <v>0.88311688311688308</v>
      </c>
      <c r="BA27" s="14">
        <f>IF(Dietary_Sample[[#This Row],[Cook median]]=0,0,Dietary_Sample[[#This Row],[Cook max]]/Dietary_Sample[[#This Row],[Cook median]])</f>
        <v>1.0129870129870129</v>
      </c>
      <c r="BB27" s="12">
        <f>VLOOKUP(A27,Summary!$1:$1048576,2,FALSE)</f>
        <v>2</v>
      </c>
    </row>
    <row r="28" spans="1:54" x14ac:dyDescent="0.55000000000000004">
      <c r="A28" s="10">
        <v>351</v>
      </c>
      <c r="B28" s="10" t="s">
        <v>54</v>
      </c>
      <c r="C28" s="10">
        <f>VLOOKUP($A28,'SAS Data'!$1:$1048576,MATCH(C$1,'SAS Data'!$3:$3,0),FALSE)</f>
        <v>14</v>
      </c>
      <c r="D28" s="10">
        <f>VLOOKUP($A28,'SAS Data'!$1:$1048576,MATCH(D$1,'SAS Data'!$3:$3,0),FALSE)</f>
        <v>16</v>
      </c>
      <c r="E28" s="10">
        <f t="shared" si="1"/>
        <v>30</v>
      </c>
      <c r="F28" s="11">
        <f>VLOOKUP($A28,'SAS Data'!$1:$1048576,MATCH(F$1,'SAS Data'!$3:$3,0),FALSE)</f>
        <v>18.93264192139738</v>
      </c>
      <c r="G28" s="12">
        <f>+Dietary_Sample[[#This Row],[Diet Cph]]*Dietary_Sample[[#This Row],[Diet Hrsn]]</f>
        <v>693692</v>
      </c>
      <c r="H2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551339.2745744359</v>
      </c>
      <c r="I28" s="17">
        <f>+Dietary_Sample[[#This Row],[Employee count Sample Data Aide]]/Dietary_Sample[[#This Row],[Total aide &amp; Cook]]*Dietary_Sample[[#This Row],[Diet Hrsn]]</f>
        <v>30384.390243902439</v>
      </c>
      <c r="J28" s="13">
        <f>IF(Dietary_Sample[[#This Row],[Aide Hours]]=0,0,Dietary_Sample[[#This Row],[Aide cost estimator]]/Dietary_Sample[[#This Row],[Aide Hours]])</f>
        <v>18.145477666285537</v>
      </c>
      <c r="K2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142352.7254255641</v>
      </c>
      <c r="L28" s="17">
        <f>+Dietary_Sample[[#This Row],[Employee count Sample Data Cook]]/Dietary_Sample[[#This Row],[Total aide &amp; Cook]]*Dietary_Sample[[#This Row],[Diet Hrsn]]</f>
        <v>6255.6097560975613</v>
      </c>
      <c r="M28" s="13">
        <f>IF(Dietary_Sample[[#This Row],[Cook Hours]]=0,0,Dietary_Sample[[#This Row],[Cook cost estimator]]/Dietary_Sample[[#This Row],[Cook Hours]])</f>
        <v>22.756011160512038</v>
      </c>
      <c r="N28" s="12">
        <f>VLOOKUP(A28,'Estimator data 120523'!$A:$F,5,FALSE)</f>
        <v>693692</v>
      </c>
      <c r="O28" s="12">
        <f>VLOOKUP($A28,'SAS Data'!$1:$1048576,MATCH(O$1,'SAS Data'!$3:$3,0),FALSE)</f>
        <v>36640</v>
      </c>
      <c r="P28" s="13">
        <f>+Dietary_Sample[[#This Row],[Cost Estimator]]/Dietary_Sample[[#This Row],[Diet Hrsn]]</f>
        <v>18.93264192139738</v>
      </c>
      <c r="Q28" s="10">
        <f>COUNTIFS('Dietary Detail'!$R:$R,$A28,'Dietary Detail'!$U:$U,RIGHT(Q$1,4))</f>
        <v>34</v>
      </c>
      <c r="R28" s="10">
        <f>COUNTIFS('Dietary Detail'!$R:$R,$A28,'Dietary Detail'!$U:$U,RIGHT(R$1,4))</f>
        <v>7</v>
      </c>
      <c r="S28" s="10">
        <f>+Dietary_Sample[[#This Row],[Employee count Sample Data Aide]]+Dietary_Sample[[#This Row],[Employee count Sample Data Cook]]</f>
        <v>41</v>
      </c>
      <c r="T28" s="13">
        <v>14.68</v>
      </c>
      <c r="U28" s="13">
        <v>18.440000000000001</v>
      </c>
      <c r="V28" s="13">
        <v>14.68</v>
      </c>
      <c r="W28" s="13">
        <v>15.272058823529415</v>
      </c>
      <c r="X28" s="13">
        <v>17</v>
      </c>
      <c r="Y28" s="13">
        <v>20.32</v>
      </c>
      <c r="Z28" s="13">
        <v>18.41</v>
      </c>
      <c r="AA28" s="13">
        <v>18.595714285714287</v>
      </c>
      <c r="AB28" s="13">
        <f>IF(AND(Dietary_Sample[[#This Row],[Aide median]]=0,Dietary_Sample[[#This Row],[Cook median]]=0),0,IF(Dietary_Sample[[#This Row],[Aide median]]=0,1,Dietary_Sample[[#This Row],[Cook median]]/Dietary_Sample[[#This Row],[Aide median]]))</f>
        <v>1.2540871934604905</v>
      </c>
      <c r="AC28" s="13">
        <f>IF(AND(Dietary_Sample[[#This Row],[Aide average]]=0,Dietary_Sample[[#This Row],[Cook average]]=0),0,IF(Dietary_Sample[[#This Row],[Aide average]]=0,1,Dietary_Sample[[#This Row],[Cook average]]/Dietary_Sample[[#This Row],[Aide average]]))</f>
        <v>1.2176298232340599</v>
      </c>
      <c r="AD28" s="37">
        <f>COUNTIFS('Dietary Detail'!$R:$R,$A28,'Dietary Detail'!$T:$T,"&lt;"&amp;V28,'Dietary Detail'!$U:$U,RIGHT(AD$1,4))</f>
        <v>0</v>
      </c>
      <c r="AE28" s="37">
        <f>COUNTIFS('Dietary Detail'!$R:$R,$A28,'Dietary Detail'!$T:$T,"&lt;"&amp;W28,'Dietary Detail'!$U:$U,RIGHT(AE$1,4))</f>
        <v>26</v>
      </c>
      <c r="AF28" s="37">
        <f>COUNTIFS('Dietary Detail'!$R:$R,$A28,'Dietary Detail'!$T:$T,"&lt;"&amp;$BG$3,'Dietary Detail'!$U:$U,RIGHT(AF$1,4))</f>
        <v>34</v>
      </c>
      <c r="AG28" s="37">
        <f>COUNTIFS('Dietary Detail'!$R:$R,$A28,'Dietary Detail'!$T:$T,"&lt;"&amp;$BG$4,'Dietary Detail'!$U:$U,RIGHT(AG$1,4))</f>
        <v>29</v>
      </c>
      <c r="AH28" s="37">
        <f>COUNTIFS('Dietary Detail'!$R:$R,$A28,'Dietary Detail'!$T:$T,"&lt;"&amp;$BG$5,'Dietary Detail'!$U:$U,RIGHT(AH$1,4))</f>
        <v>30</v>
      </c>
      <c r="AI28" s="37">
        <f>COUNTIFS('Dietary Detail'!$R:$R,$A28,'Dietary Detail'!$T:$T,"&lt;"&amp;Z28,'Dietary Detail'!$U:$U,RIGHT(AI$1,4))</f>
        <v>2</v>
      </c>
      <c r="AJ28" s="37">
        <f>COUNTIFS('Dietary Detail'!$R:$R,$A28,'Dietary Detail'!$T:$T,"&lt;"&amp;AA28,'Dietary Detail'!$U:$U,RIGHT(AJ$1,4))</f>
        <v>4</v>
      </c>
      <c r="AK28" s="37">
        <f>COUNTIFS('Dietary Detail'!$R:$R,$A28,'Dietary Detail'!$T:$T,"&lt;"&amp;$BH$3,'Dietary Detail'!$U:$U,RIGHT(AK$1,4))</f>
        <v>7</v>
      </c>
      <c r="AL28" s="37">
        <f>COUNTIFS('Dietary Detail'!$R:$R,$A28,'Dietary Detail'!$T:$T,"&lt;"&amp;$BH$4,'Dietary Detail'!$U:$U,RIGHT(AL$1,4))</f>
        <v>5</v>
      </c>
      <c r="AM28" s="37">
        <f>COUNTIFS('Dietary Detail'!$R:$R,$A28,'Dietary Detail'!$T:$T,"&lt;"&amp;$BH$5,'Dietary Detail'!$U:$U,RIGHT(AM$1,4))</f>
        <v>5</v>
      </c>
      <c r="AN28" s="12">
        <f>+Dietary_Sample[[#This Row],[Aide median]]*Dietary_Sample[[#This Row],[Aide Hours]]</f>
        <v>446042.84878048778</v>
      </c>
      <c r="AO28" s="12">
        <f>+Dietary_Sample[[#This Row],[Aide average]]*Dietary_Sample[[#This Row],[Aide Hours]]</f>
        <v>464032.19512195128</v>
      </c>
      <c r="AP28" s="12">
        <f>+Dietary_Sample[[#This Row],[Cook median]]*Dietary_Sample[[#This Row],[Cook Hours]]</f>
        <v>115165.77560975611</v>
      </c>
      <c r="AQ28" s="12">
        <f>+Dietary_Sample[[#This Row],[Cook average]]*Dietary_Sample[[#This Row],[Cook Hours]]</f>
        <v>116327.53170731709</v>
      </c>
      <c r="AR28" s="12">
        <f>+Dietary_Sample[[#This Row],[Est average Aide wage cost]]+Dietary_Sample[[#This Row],[Est average Cook wage cost]]</f>
        <v>580359.72682926839</v>
      </c>
      <c r="AS28" s="12">
        <f>+Dietary_Sample[[#This Row],[Est average Aide wage cost]]+Dietary_Sample[[#This Row],[Est average Cook wage cost]]</f>
        <v>580359.72682926839</v>
      </c>
      <c r="AT28" s="14">
        <f>IF(Dietary_Sample[[#This Row],[Aide cost estimator]]=0,0,Dietary_Sample[[#This Row],[Est median Aide wage cost ]]/Dietary_Sample[[#This Row],[Aide cost estimator]])</f>
        <v>0.80901700522745523</v>
      </c>
      <c r="AU28" s="14">
        <f>IF(Dietary_Sample[[#This Row],[Aide cost estimator]]=0,0,Dietary_Sample[[#This Row],[Est average Aide wage cost]]/Dietary_Sample[[#This Row],[Aide cost estimator]])</f>
        <v>0.84164545593115125</v>
      </c>
      <c r="AV28" s="14">
        <f>IF(Dietary_Sample[[#This Row],[Cook cost estimator]]=0,0,Dietary_Sample[[#This Row],[Est median Cook wage cost]]/Dietary_Sample[[#This Row],[Cook cost estimator]])</f>
        <v>0.80901700522745534</v>
      </c>
      <c r="AW28" s="14">
        <f>IF(Dietary_Sample[[#This Row],[Cook cost estimator]]=0,0,Dietary_Sample[[#This Row],[Est average Cook wage cost]]/Dietary_Sample[[#This Row],[Cook cost estimator]])</f>
        <v>0.81717811414959152</v>
      </c>
      <c r="AX28" s="14">
        <f>IF(Dietary_Sample[[#This Row],[Aide median]]=0,0,Dietary_Sample[[#This Row],[Aide min]]/Dietary_Sample[[#This Row],[Aide median]])</f>
        <v>1</v>
      </c>
      <c r="AY28" s="14">
        <f>IF(Dietary_Sample[[#This Row],[Aide median]]=0,0,Dietary_Sample[[#This Row],[Aide max]]/Dietary_Sample[[#This Row],[Aide median]])</f>
        <v>1.2561307901907357</v>
      </c>
      <c r="AZ28" s="14">
        <f>IF(Dietary_Sample[[#This Row],[Cook median]]=0,0,Dietary_Sample[[#This Row],[Cook min]]/Dietary_Sample[[#This Row],[Cook median]])</f>
        <v>0.92341118957088542</v>
      </c>
      <c r="BA28" s="14">
        <f>IF(Dietary_Sample[[#This Row],[Cook median]]=0,0,Dietary_Sample[[#This Row],[Cook max]]/Dietary_Sample[[#This Row],[Cook median]])</f>
        <v>1.1037479630635525</v>
      </c>
      <c r="BB28" s="12">
        <f>VLOOKUP(A28,Summary!$1:$1048576,2,FALSE)</f>
        <v>2</v>
      </c>
    </row>
    <row r="29" spans="1:54" x14ac:dyDescent="0.55000000000000004">
      <c r="A29" s="10">
        <v>380</v>
      </c>
      <c r="B29" s="10" t="s">
        <v>54</v>
      </c>
      <c r="C29" s="10">
        <f>VLOOKUP($A29,'SAS Data'!$1:$1048576,MATCH(C$1,'SAS Data'!$3:$3,0),FALSE)</f>
        <v>24</v>
      </c>
      <c r="D29" s="10">
        <f>VLOOKUP($A29,'SAS Data'!$1:$1048576,MATCH(D$1,'SAS Data'!$3:$3,0),FALSE)</f>
        <v>11</v>
      </c>
      <c r="E29" s="10">
        <f t="shared" si="1"/>
        <v>35</v>
      </c>
      <c r="F29" s="11">
        <f>VLOOKUP($A29,'SAS Data'!$1:$1048576,MATCH(F$1,'SAS Data'!$3:$3,0),FALSE)</f>
        <v>21.393323984140999</v>
      </c>
      <c r="G29" s="12">
        <f>+Dietary_Sample[[#This Row],[Diet Cph]]*Dietary_Sample[[#This Row],[Diet Hrsn]]</f>
        <v>1235657</v>
      </c>
      <c r="H2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962605.90708279284</v>
      </c>
      <c r="I29" s="17">
        <f>+Dietary_Sample[[#This Row],[Employee count Sample Data Aide]]/Dietary_Sample[[#This Row],[Total aide &amp; Cook]]*Dietary_Sample[[#This Row],[Diet Hrsn]]</f>
        <v>47257.36363636364</v>
      </c>
      <c r="J29" s="13">
        <f>IF(Dietary_Sample[[#This Row],[Aide Hours]]=0,0,Dietary_Sample[[#This Row],[Aide cost estimator]]/Dietary_Sample[[#This Row],[Aide Hours]])</f>
        <v>20.369437332345935</v>
      </c>
      <c r="K2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273051.09291720705</v>
      </c>
      <c r="L29" s="17">
        <f>+Dietary_Sample[[#This Row],[Employee count Sample Data Cook]]/Dietary_Sample[[#This Row],[Total aide &amp; Cook]]*Dietary_Sample[[#This Row],[Diet Hrsn]]</f>
        <v>10501.636363636364</v>
      </c>
      <c r="M29" s="13">
        <f>IF(Dietary_Sample[[#This Row],[Cook Hours]]=0,0,Dietary_Sample[[#This Row],[Cook cost estimator]]/Dietary_Sample[[#This Row],[Cook Hours]])</f>
        <v>26.000813917218768</v>
      </c>
      <c r="N29" s="12">
        <f>VLOOKUP(A29,'Estimator data 120523'!$A:$F,5,FALSE)</f>
        <v>1235657</v>
      </c>
      <c r="O29" s="12">
        <f>VLOOKUP($A29,'SAS Data'!$1:$1048576,MATCH(O$1,'SAS Data'!$3:$3,0),FALSE)</f>
        <v>57759</v>
      </c>
      <c r="P29" s="13">
        <f>+Dietary_Sample[[#This Row],[Cost Estimator]]/Dietary_Sample[[#This Row],[Diet Hrsn]]</f>
        <v>21.393323984140999</v>
      </c>
      <c r="Q29" s="10">
        <f>COUNTIFS('Dietary Detail'!$R:$R,$A29,'Dietary Detail'!$U:$U,RIGHT(Q$1,4))</f>
        <v>27</v>
      </c>
      <c r="R29" s="10">
        <f>COUNTIFS('Dietary Detail'!$R:$R,$A29,'Dietary Detail'!$U:$U,RIGHT(R$1,4))</f>
        <v>6</v>
      </c>
      <c r="S29" s="10">
        <f>+Dietary_Sample[[#This Row],[Employee count Sample Data Aide]]+Dietary_Sample[[#This Row],[Employee count Sample Data Cook]]</f>
        <v>33</v>
      </c>
      <c r="T29" s="13">
        <v>17.37</v>
      </c>
      <c r="U29" s="13">
        <v>23.38</v>
      </c>
      <c r="V29" s="13">
        <v>20.689999999999998</v>
      </c>
      <c r="W29" s="13">
        <v>21.17814814814815</v>
      </c>
      <c r="X29" s="13">
        <v>22.51</v>
      </c>
      <c r="Y29" s="13">
        <v>26.41</v>
      </c>
      <c r="Z29" s="13">
        <v>26.41</v>
      </c>
      <c r="AA29" s="13">
        <v>25.488333333333333</v>
      </c>
      <c r="AB29" s="13">
        <f>IF(AND(Dietary_Sample[[#This Row],[Aide median]]=0,Dietary_Sample[[#This Row],[Cook median]]=0),0,IF(Dietary_Sample[[#This Row],[Aide median]]=0,1,Dietary_Sample[[#This Row],[Cook median]]/Dietary_Sample[[#This Row],[Aide median]]))</f>
        <v>1.2764620589656841</v>
      </c>
      <c r="AC29" s="13">
        <f>IF(AND(Dietary_Sample[[#This Row],[Aide average]]=0,Dietary_Sample[[#This Row],[Cook average]]=0),0,IF(Dietary_Sample[[#This Row],[Aide average]]=0,1,Dietary_Sample[[#This Row],[Cook average]]/Dietary_Sample[[#This Row],[Aide average]]))</f>
        <v>1.2035204001329112</v>
      </c>
      <c r="AD29" s="37">
        <f>COUNTIFS('Dietary Detail'!$R:$R,$A29,'Dietary Detail'!$T:$T,"&lt;"&amp;V29,'Dietary Detail'!$U:$U,RIGHT(AD$1,4))</f>
        <v>13</v>
      </c>
      <c r="AE29" s="37">
        <f>COUNTIFS('Dietary Detail'!$R:$R,$A29,'Dietary Detail'!$T:$T,"&lt;"&amp;W29,'Dietary Detail'!$U:$U,RIGHT(AE$1,4))</f>
        <v>16</v>
      </c>
      <c r="AF29" s="37">
        <f>COUNTIFS('Dietary Detail'!$R:$R,$A29,'Dietary Detail'!$T:$T,"&lt;"&amp;$BG$3,'Dietary Detail'!$U:$U,RIGHT(AF$1,4))</f>
        <v>27</v>
      </c>
      <c r="AG29" s="37">
        <f>COUNTIFS('Dietary Detail'!$R:$R,$A29,'Dietary Detail'!$T:$T,"&lt;"&amp;$BG$4,'Dietary Detail'!$U:$U,RIGHT(AG$1,4))</f>
        <v>0</v>
      </c>
      <c r="AH29" s="37">
        <f>COUNTIFS('Dietary Detail'!$R:$R,$A29,'Dietary Detail'!$T:$T,"&lt;"&amp;$BG$5,'Dietary Detail'!$U:$U,RIGHT(AH$1,4))</f>
        <v>0</v>
      </c>
      <c r="AI29" s="37">
        <f>COUNTIFS('Dietary Detail'!$R:$R,$A29,'Dietary Detail'!$T:$T,"&lt;"&amp;Z29,'Dietary Detail'!$U:$U,RIGHT(AI$1,4))</f>
        <v>2</v>
      </c>
      <c r="AJ29" s="37">
        <f>COUNTIFS('Dietary Detail'!$R:$R,$A29,'Dietary Detail'!$T:$T,"&lt;"&amp;AA29,'Dietary Detail'!$U:$U,RIGHT(AJ$1,4))</f>
        <v>2</v>
      </c>
      <c r="AK29" s="37">
        <f>COUNTIFS('Dietary Detail'!$R:$R,$A29,'Dietary Detail'!$T:$T,"&lt;"&amp;$BH$3,'Dietary Detail'!$U:$U,RIGHT(AK$1,4))</f>
        <v>2</v>
      </c>
      <c r="AL29" s="37">
        <f>COUNTIFS('Dietary Detail'!$R:$R,$A29,'Dietary Detail'!$T:$T,"&lt;"&amp;$BH$4,'Dietary Detail'!$U:$U,RIGHT(AL$1,4))</f>
        <v>0</v>
      </c>
      <c r="AM29" s="37">
        <f>COUNTIFS('Dietary Detail'!$R:$R,$A29,'Dietary Detail'!$T:$T,"&lt;"&amp;$BH$5,'Dietary Detail'!$U:$U,RIGHT(AM$1,4))</f>
        <v>0</v>
      </c>
      <c r="AN29" s="12">
        <f>+Dietary_Sample[[#This Row],[Aide median]]*Dietary_Sample[[#This Row],[Aide Hours]]</f>
        <v>977754.85363636364</v>
      </c>
      <c r="AO29" s="12">
        <f>+Dietary_Sample[[#This Row],[Aide average]]*Dietary_Sample[[#This Row],[Aide Hours]]</f>
        <v>1000823.4481818184</v>
      </c>
      <c r="AP29" s="12">
        <f>+Dietary_Sample[[#This Row],[Cook median]]*Dietary_Sample[[#This Row],[Cook Hours]]</f>
        <v>277348.21636363637</v>
      </c>
      <c r="AQ29" s="12">
        <f>+Dietary_Sample[[#This Row],[Cook average]]*Dietary_Sample[[#This Row],[Cook Hours]]</f>
        <v>267669.20818181819</v>
      </c>
      <c r="AR29" s="12">
        <f>+Dietary_Sample[[#This Row],[Est average Aide wage cost]]+Dietary_Sample[[#This Row],[Est average Cook wage cost]]</f>
        <v>1268492.6563636365</v>
      </c>
      <c r="AS29" s="12">
        <f>+Dietary_Sample[[#This Row],[Est average Aide wage cost]]+Dietary_Sample[[#This Row],[Est average Cook wage cost]]</f>
        <v>1268492.6563636365</v>
      </c>
      <c r="AT29" s="14">
        <f>IF(Dietary_Sample[[#This Row],[Aide cost estimator]]=0,0,Dietary_Sample[[#This Row],[Est median Aide wage cost ]]/Dietary_Sample[[#This Row],[Aide cost estimator]])</f>
        <v>1.0157374336081939</v>
      </c>
      <c r="AU29" s="14">
        <f>IF(Dietary_Sample[[#This Row],[Aide cost estimator]]=0,0,Dietary_Sample[[#This Row],[Est average Aide wage cost]]/Dietary_Sample[[#This Row],[Aide cost estimator]])</f>
        <v>1.0397021676449556</v>
      </c>
      <c r="AV29" s="14">
        <f>IF(Dietary_Sample[[#This Row],[Cook cost estimator]]=0,0,Dietary_Sample[[#This Row],[Est median Cook wage cost]]/Dietary_Sample[[#This Row],[Cook cost estimator]])</f>
        <v>1.0157374336081939</v>
      </c>
      <c r="AW29" s="14">
        <f>IF(Dietary_Sample[[#This Row],[Cook cost estimator]]=0,0,Dietary_Sample[[#This Row],[Est average Cook wage cost]]/Dietary_Sample[[#This Row],[Cook cost estimator]])</f>
        <v>0.98028982532942754</v>
      </c>
      <c r="AX29" s="14">
        <f>IF(Dietary_Sample[[#This Row],[Aide median]]=0,0,Dietary_Sample[[#This Row],[Aide min]]/Dietary_Sample[[#This Row],[Aide median]])</f>
        <v>0.83953600773320458</v>
      </c>
      <c r="AY29" s="14">
        <f>IF(Dietary_Sample[[#This Row],[Aide median]]=0,0,Dietary_Sample[[#This Row],[Aide max]]/Dietary_Sample[[#This Row],[Aide median]])</f>
        <v>1.1300144997583375</v>
      </c>
      <c r="AZ29" s="14">
        <f>IF(Dietary_Sample[[#This Row],[Cook median]]=0,0,Dietary_Sample[[#This Row],[Cook min]]/Dietary_Sample[[#This Row],[Cook median]])</f>
        <v>0.85232866338508151</v>
      </c>
      <c r="BA29" s="14">
        <f>IF(Dietary_Sample[[#This Row],[Cook median]]=0,0,Dietary_Sample[[#This Row],[Cook max]]/Dietary_Sample[[#This Row],[Cook median]])</f>
        <v>1</v>
      </c>
      <c r="BB29" s="12">
        <f>VLOOKUP(A29,Summary!$1:$1048576,2,FALSE)</f>
        <v>3</v>
      </c>
    </row>
    <row r="30" spans="1:54" x14ac:dyDescent="0.55000000000000004">
      <c r="A30" s="10">
        <v>383</v>
      </c>
      <c r="B30" s="10" t="s">
        <v>54</v>
      </c>
      <c r="C30" s="10">
        <f>VLOOKUP($A30,'SAS Data'!$1:$1048576,MATCH(C$1,'SAS Data'!$3:$3,0),FALSE)</f>
        <v>3</v>
      </c>
      <c r="D30" s="10">
        <f>VLOOKUP($A30,'SAS Data'!$1:$1048576,MATCH(D$1,'SAS Data'!$3:$3,0),FALSE)</f>
        <v>4</v>
      </c>
      <c r="E30" s="10">
        <f t="shared" si="1"/>
        <v>7</v>
      </c>
      <c r="F30" s="11">
        <f>VLOOKUP($A30,'SAS Data'!$1:$1048576,MATCH(F$1,'SAS Data'!$3:$3,0),FALSE)</f>
        <v>18.828944802028477</v>
      </c>
      <c r="G30" s="12">
        <f>+Dietary_Sample[[#This Row],[Diet Cph]]*Dietary_Sample[[#This Row],[Diet Hrsn]]</f>
        <v>289608</v>
      </c>
      <c r="H3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203101.71428571429</v>
      </c>
      <c r="I30" s="17">
        <f>+Dietary_Sample[[#This Row],[Employee count Sample Data Aide]]/Dietary_Sample[[#This Row],[Total aide &amp; Cook]]*Dietary_Sample[[#This Row],[Diet Hrsn]]</f>
        <v>11535.75</v>
      </c>
      <c r="J30" s="13">
        <f>IF(Dietary_Sample[[#This Row],[Aide Hours]]=0,0,Dietary_Sample[[#This Row],[Aide cost estimator]]/Dietary_Sample[[#This Row],[Aide Hours]])</f>
        <v>17.606286048650006</v>
      </c>
      <c r="K3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86506.28571428571</v>
      </c>
      <c r="L30" s="17">
        <f>+Dietary_Sample[[#This Row],[Employee count Sample Data Cook]]/Dietary_Sample[[#This Row],[Total aide &amp; Cook]]*Dietary_Sample[[#This Row],[Diet Hrsn]]</f>
        <v>3845.25</v>
      </c>
      <c r="M30" s="13">
        <f>IF(Dietary_Sample[[#This Row],[Cook Hours]]=0,0,Dietary_Sample[[#This Row],[Cook cost estimator]]/Dietary_Sample[[#This Row],[Cook Hours]])</f>
        <v>22.496921062163892</v>
      </c>
      <c r="N30" s="12">
        <f>VLOOKUP(A30,'Estimator data 120523'!$A:$F,5,FALSE)</f>
        <v>289608</v>
      </c>
      <c r="O30" s="12">
        <f>VLOOKUP($A30,'SAS Data'!$1:$1048576,MATCH(O$1,'SAS Data'!$3:$3,0),FALSE)</f>
        <v>15381</v>
      </c>
      <c r="P30" s="13">
        <f>+Dietary_Sample[[#This Row],[Cost Estimator]]/Dietary_Sample[[#This Row],[Diet Hrsn]]</f>
        <v>18.828944802028477</v>
      </c>
      <c r="Q30" s="10">
        <f>COUNTIFS('Dietary Detail'!$R:$R,$A30,'Dietary Detail'!$U:$U,RIGHT(Q$1,4))</f>
        <v>9</v>
      </c>
      <c r="R30" s="10">
        <f>COUNTIFS('Dietary Detail'!$R:$R,$A30,'Dietary Detail'!$U:$U,RIGHT(R$1,4))</f>
        <v>3</v>
      </c>
      <c r="S30" s="10">
        <f>+Dietary_Sample[[#This Row],[Employee count Sample Data Aide]]+Dietary_Sample[[#This Row],[Employee count Sample Data Cook]]</f>
        <v>12</v>
      </c>
      <c r="T30" s="13">
        <v>18</v>
      </c>
      <c r="U30" s="13">
        <v>19</v>
      </c>
      <c r="V30" s="13">
        <v>18</v>
      </c>
      <c r="W30" s="13">
        <v>18.166666666666668</v>
      </c>
      <c r="X30" s="13">
        <v>21.5</v>
      </c>
      <c r="Y30" s="13">
        <v>23.47</v>
      </c>
      <c r="Z30" s="13">
        <v>23</v>
      </c>
      <c r="AA30" s="13">
        <v>22.656666666666666</v>
      </c>
      <c r="AB30" s="13">
        <f>IF(AND(Dietary_Sample[[#This Row],[Aide median]]=0,Dietary_Sample[[#This Row],[Cook median]]=0),0,IF(Dietary_Sample[[#This Row],[Aide median]]=0,1,Dietary_Sample[[#This Row],[Cook median]]/Dietary_Sample[[#This Row],[Aide median]]))</f>
        <v>1.2777777777777777</v>
      </c>
      <c r="AC30" s="13">
        <f>IF(AND(Dietary_Sample[[#This Row],[Aide average]]=0,Dietary_Sample[[#This Row],[Cook average]]=0),0,IF(Dietary_Sample[[#This Row],[Aide average]]=0,1,Dietary_Sample[[#This Row],[Cook average]]/Dietary_Sample[[#This Row],[Aide average]]))</f>
        <v>1.2471559633027522</v>
      </c>
      <c r="AD30" s="37">
        <f>COUNTIFS('Dietary Detail'!$R:$R,$A30,'Dietary Detail'!$T:$T,"&lt;"&amp;V30,'Dietary Detail'!$U:$U,RIGHT(AD$1,4))</f>
        <v>0</v>
      </c>
      <c r="AE30" s="37">
        <f>COUNTIFS('Dietary Detail'!$R:$R,$A30,'Dietary Detail'!$T:$T,"&lt;"&amp;W30,'Dietary Detail'!$U:$U,RIGHT(AE$1,4))</f>
        <v>7</v>
      </c>
      <c r="AF30" s="37">
        <f>COUNTIFS('Dietary Detail'!$R:$R,$A30,'Dietary Detail'!$T:$T,"&lt;"&amp;$BG$3,'Dietary Detail'!$U:$U,RIGHT(AF$1,4))</f>
        <v>9</v>
      </c>
      <c r="AG30" s="37">
        <f>COUNTIFS('Dietary Detail'!$R:$R,$A30,'Dietary Detail'!$T:$T,"&lt;"&amp;$BG$4,'Dietary Detail'!$U:$U,RIGHT(AG$1,4))</f>
        <v>0</v>
      </c>
      <c r="AH30" s="37">
        <f>COUNTIFS('Dietary Detail'!$R:$R,$A30,'Dietary Detail'!$T:$T,"&lt;"&amp;$BG$5,'Dietary Detail'!$U:$U,RIGHT(AH$1,4))</f>
        <v>0</v>
      </c>
      <c r="AI30" s="37">
        <f>COUNTIFS('Dietary Detail'!$R:$R,$A30,'Dietary Detail'!$T:$T,"&lt;"&amp;Z30,'Dietary Detail'!$U:$U,RIGHT(AI$1,4))</f>
        <v>1</v>
      </c>
      <c r="AJ30" s="37">
        <f>COUNTIFS('Dietary Detail'!$R:$R,$A30,'Dietary Detail'!$T:$T,"&lt;"&amp;AA30,'Dietary Detail'!$U:$U,RIGHT(AJ$1,4))</f>
        <v>1</v>
      </c>
      <c r="AK30" s="37">
        <f>COUNTIFS('Dietary Detail'!$R:$R,$A30,'Dietary Detail'!$T:$T,"&lt;"&amp;$BH$3,'Dietary Detail'!$U:$U,RIGHT(AK$1,4))</f>
        <v>3</v>
      </c>
      <c r="AL30" s="37">
        <f>COUNTIFS('Dietary Detail'!$R:$R,$A30,'Dietary Detail'!$T:$T,"&lt;"&amp;$BH$4,'Dietary Detail'!$U:$U,RIGHT(AL$1,4))</f>
        <v>0</v>
      </c>
      <c r="AM30" s="37">
        <f>COUNTIFS('Dietary Detail'!$R:$R,$A30,'Dietary Detail'!$T:$T,"&lt;"&amp;$BH$5,'Dietary Detail'!$U:$U,RIGHT(AM$1,4))</f>
        <v>0</v>
      </c>
      <c r="AN30" s="12">
        <f>+Dietary_Sample[[#This Row],[Aide median]]*Dietary_Sample[[#This Row],[Aide Hours]]</f>
        <v>207643.5</v>
      </c>
      <c r="AO30" s="12">
        <f>+Dietary_Sample[[#This Row],[Aide average]]*Dietary_Sample[[#This Row],[Aide Hours]]</f>
        <v>209566.125</v>
      </c>
      <c r="AP30" s="12">
        <f>+Dietary_Sample[[#This Row],[Cook median]]*Dietary_Sample[[#This Row],[Cook Hours]]</f>
        <v>88440.75</v>
      </c>
      <c r="AQ30" s="12">
        <f>+Dietary_Sample[[#This Row],[Cook average]]*Dietary_Sample[[#This Row],[Cook Hours]]</f>
        <v>87120.547500000001</v>
      </c>
      <c r="AR30" s="12">
        <f>+Dietary_Sample[[#This Row],[Est average Aide wage cost]]+Dietary_Sample[[#This Row],[Est average Cook wage cost]]</f>
        <v>296686.67249999999</v>
      </c>
      <c r="AS30" s="12">
        <f>+Dietary_Sample[[#This Row],[Est average Aide wage cost]]+Dietary_Sample[[#This Row],[Est average Cook wage cost]]</f>
        <v>296686.67249999999</v>
      </c>
      <c r="AT30" s="14">
        <f>IF(Dietary_Sample[[#This Row],[Aide cost estimator]]=0,0,Dietary_Sample[[#This Row],[Est median Aide wage cost ]]/Dietary_Sample[[#This Row],[Aide cost estimator]])</f>
        <v>1.0223621239744758</v>
      </c>
      <c r="AU30" s="14">
        <f>IF(Dietary_Sample[[#This Row],[Aide cost estimator]]=0,0,Dietary_Sample[[#This Row],[Est average Aide wage cost]]/Dietary_Sample[[#This Row],[Aide cost estimator]])</f>
        <v>1.0318284399372024</v>
      </c>
      <c r="AV30" s="14">
        <f>IF(Dietary_Sample[[#This Row],[Cook cost estimator]]=0,0,Dietary_Sample[[#This Row],[Est median Cook wage cost]]/Dietary_Sample[[#This Row],[Cook cost estimator]])</f>
        <v>1.0223621239744758</v>
      </c>
      <c r="AW30" s="14">
        <f>IF(Dietary_Sample[[#This Row],[Cook cost estimator]]=0,0,Dietary_Sample[[#This Row],[Est average Cook wage cost]]/Dietary_Sample[[#This Row],[Cook cost estimator]])</f>
        <v>1.007100776326741</v>
      </c>
      <c r="AX30" s="14">
        <f>IF(Dietary_Sample[[#This Row],[Aide median]]=0,0,Dietary_Sample[[#This Row],[Aide min]]/Dietary_Sample[[#This Row],[Aide median]])</f>
        <v>1</v>
      </c>
      <c r="AY30" s="14">
        <f>IF(Dietary_Sample[[#This Row],[Aide median]]=0,0,Dietary_Sample[[#This Row],[Aide max]]/Dietary_Sample[[#This Row],[Aide median]])</f>
        <v>1.0555555555555556</v>
      </c>
      <c r="AZ30" s="14">
        <f>IF(Dietary_Sample[[#This Row],[Cook median]]=0,0,Dietary_Sample[[#This Row],[Cook min]]/Dietary_Sample[[#This Row],[Cook median]])</f>
        <v>0.93478260869565222</v>
      </c>
      <c r="BA30" s="14">
        <f>IF(Dietary_Sample[[#This Row],[Cook median]]=0,0,Dietary_Sample[[#This Row],[Cook max]]/Dietary_Sample[[#This Row],[Cook median]])</f>
        <v>1.0204347826086957</v>
      </c>
      <c r="BB30" s="12">
        <f>VLOOKUP(A30,Summary!$1:$1048576,2,FALSE)</f>
        <v>3</v>
      </c>
    </row>
    <row r="31" spans="1:54" x14ac:dyDescent="0.55000000000000004">
      <c r="A31" s="10">
        <v>385</v>
      </c>
      <c r="B31" s="10" t="s">
        <v>54</v>
      </c>
      <c r="C31" s="10">
        <f>VLOOKUP($A31,'SAS Data'!$1:$1048576,MATCH(C$1,'SAS Data'!$3:$3,0),FALSE)</f>
        <v>7</v>
      </c>
      <c r="D31" s="10">
        <f>VLOOKUP($A31,'SAS Data'!$1:$1048576,MATCH(D$1,'SAS Data'!$3:$3,0),FALSE)</f>
        <v>7</v>
      </c>
      <c r="E31" s="10">
        <f t="shared" si="1"/>
        <v>14</v>
      </c>
      <c r="F31" s="11">
        <f>VLOOKUP($A31,'SAS Data'!$1:$1048576,MATCH(F$1,'SAS Data'!$3:$3,0),FALSE)</f>
        <v>17.597291393621667</v>
      </c>
      <c r="G31" s="12">
        <f>+Dietary_Sample[[#This Row],[Diet Cph]]*Dietary_Sample[[#This Row],[Diet Hrsn]]</f>
        <v>201400.99999999997</v>
      </c>
      <c r="H3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143857.85714285716</v>
      </c>
      <c r="I31" s="17">
        <f>+Dietary_Sample[[#This Row],[Employee count Sample Data Aide]]/Dietary_Sample[[#This Row],[Total aide &amp; Cook]]*Dietary_Sample[[#This Row],[Diet Hrsn]]</f>
        <v>8583.75</v>
      </c>
      <c r="J31" s="13">
        <f>IF(Dietary_Sample[[#This Row],[Aide Hours]]=0,0,Dietary_Sample[[#This Row],[Aide cost estimator]]/Dietary_Sample[[#This Row],[Aide Hours]])</f>
        <v>16.759325136782543</v>
      </c>
      <c r="K3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57543.142857142855</v>
      </c>
      <c r="L31" s="17">
        <f>+Dietary_Sample[[#This Row],[Employee count Sample Data Cook]]/Dietary_Sample[[#This Row],[Total aide &amp; Cook]]*Dietary_Sample[[#This Row],[Diet Hrsn]]</f>
        <v>2861.25</v>
      </c>
      <c r="M31" s="13">
        <f>IF(Dietary_Sample[[#This Row],[Cook Hours]]=0,0,Dietary_Sample[[#This Row],[Cook cost estimator]]/Dietary_Sample[[#This Row],[Cook Hours]])</f>
        <v>20.11119016413905</v>
      </c>
      <c r="N31" s="12">
        <f>VLOOKUP(A31,'Estimator data 120523'!$A:$F,5,FALSE)</f>
        <v>201401</v>
      </c>
      <c r="O31" s="12">
        <f>VLOOKUP($A31,'SAS Data'!$1:$1048576,MATCH(O$1,'SAS Data'!$3:$3,0),FALSE)</f>
        <v>11445</v>
      </c>
      <c r="P31" s="13">
        <f>+Dietary_Sample[[#This Row],[Cost Estimator]]/Dietary_Sample[[#This Row],[Diet Hrsn]]</f>
        <v>17.597291393621671</v>
      </c>
      <c r="Q31" s="10">
        <f>COUNTIFS('Dietary Detail'!$R:$R,$A31,'Dietary Detail'!$U:$U,RIGHT(Q$1,4))</f>
        <v>9</v>
      </c>
      <c r="R31" s="10">
        <f>COUNTIFS('Dietary Detail'!$R:$R,$A31,'Dietary Detail'!$U:$U,RIGHT(R$1,4))</f>
        <v>3</v>
      </c>
      <c r="S31" s="10">
        <f>+Dietary_Sample[[#This Row],[Employee count Sample Data Aide]]+Dietary_Sample[[#This Row],[Employee count Sample Data Cook]]</f>
        <v>12</v>
      </c>
      <c r="T31" s="13">
        <v>15</v>
      </c>
      <c r="U31" s="13">
        <v>17.28</v>
      </c>
      <c r="V31" s="13">
        <v>15.45</v>
      </c>
      <c r="W31" s="13">
        <v>15.595555555555555</v>
      </c>
      <c r="X31" s="13">
        <v>18.28</v>
      </c>
      <c r="Y31" s="13">
        <v>18.8</v>
      </c>
      <c r="Z31" s="13">
        <v>18.54</v>
      </c>
      <c r="AA31" s="13">
        <v>18.54</v>
      </c>
      <c r="AB31" s="13">
        <f>IF(AND(Dietary_Sample[[#This Row],[Aide median]]=0,Dietary_Sample[[#This Row],[Cook median]]=0),0,IF(Dietary_Sample[[#This Row],[Aide median]]=0,1,Dietary_Sample[[#This Row],[Cook median]]/Dietary_Sample[[#This Row],[Aide median]]))</f>
        <v>1.2</v>
      </c>
      <c r="AC31" s="13">
        <f>IF(AND(Dietary_Sample[[#This Row],[Aide average]]=0,Dietary_Sample[[#This Row],[Cook average]]=0),0,IF(Dietary_Sample[[#This Row],[Aide average]]=0,1,Dietary_Sample[[#This Row],[Cook average]]/Dietary_Sample[[#This Row],[Aide average]]))</f>
        <v>1.188800227985181</v>
      </c>
      <c r="AD31" s="37">
        <f>COUNTIFS('Dietary Detail'!$R:$R,$A31,'Dietary Detail'!$T:$T,"&lt;"&amp;V31,'Dietary Detail'!$U:$U,RIGHT(AD$1,4))</f>
        <v>3</v>
      </c>
      <c r="AE31" s="37">
        <f>COUNTIFS('Dietary Detail'!$R:$R,$A31,'Dietary Detail'!$T:$T,"&lt;"&amp;W31,'Dietary Detail'!$U:$U,RIGHT(AE$1,4))</f>
        <v>7</v>
      </c>
      <c r="AF31" s="37">
        <f>COUNTIFS('Dietary Detail'!$R:$R,$A31,'Dietary Detail'!$T:$T,"&lt;"&amp;$BG$3,'Dietary Detail'!$U:$U,RIGHT(AF$1,4))</f>
        <v>9</v>
      </c>
      <c r="AG31" s="37">
        <f>COUNTIFS('Dietary Detail'!$R:$R,$A31,'Dietary Detail'!$T:$T,"&lt;"&amp;$BG$4,'Dietary Detail'!$U:$U,RIGHT(AG$1,4))</f>
        <v>7</v>
      </c>
      <c r="AH31" s="37">
        <f>COUNTIFS('Dietary Detail'!$R:$R,$A31,'Dietary Detail'!$T:$T,"&lt;"&amp;$BG$5,'Dietary Detail'!$U:$U,RIGHT(AH$1,4))</f>
        <v>8</v>
      </c>
      <c r="AI31" s="37">
        <f>COUNTIFS('Dietary Detail'!$R:$R,$A31,'Dietary Detail'!$T:$T,"&lt;"&amp;Z31,'Dietary Detail'!$U:$U,RIGHT(AI$1,4))</f>
        <v>1</v>
      </c>
      <c r="AJ31" s="37">
        <f>COUNTIFS('Dietary Detail'!$R:$R,$A31,'Dietary Detail'!$T:$T,"&lt;"&amp;AA31,'Dietary Detail'!$U:$U,RIGHT(AJ$1,4))</f>
        <v>1</v>
      </c>
      <c r="AK31" s="37">
        <f>COUNTIFS('Dietary Detail'!$R:$R,$A31,'Dietary Detail'!$T:$T,"&lt;"&amp;$BH$3,'Dietary Detail'!$U:$U,RIGHT(AK$1,4))</f>
        <v>3</v>
      </c>
      <c r="AL31" s="37">
        <f>COUNTIFS('Dietary Detail'!$R:$R,$A31,'Dietary Detail'!$T:$T,"&lt;"&amp;$BH$4,'Dietary Detail'!$U:$U,RIGHT(AL$1,4))</f>
        <v>3</v>
      </c>
      <c r="AM31" s="37">
        <f>COUNTIFS('Dietary Detail'!$R:$R,$A31,'Dietary Detail'!$T:$T,"&lt;"&amp;$BH$5,'Dietary Detail'!$U:$U,RIGHT(AM$1,4))</f>
        <v>3</v>
      </c>
      <c r="AN31" s="12">
        <f>+Dietary_Sample[[#This Row],[Aide median]]*Dietary_Sample[[#This Row],[Aide Hours]]</f>
        <v>132618.9375</v>
      </c>
      <c r="AO31" s="12">
        <f>+Dietary_Sample[[#This Row],[Aide average]]*Dietary_Sample[[#This Row],[Aide Hours]]</f>
        <v>133868.34999999998</v>
      </c>
      <c r="AP31" s="12">
        <f>+Dietary_Sample[[#This Row],[Cook median]]*Dietary_Sample[[#This Row],[Cook Hours]]</f>
        <v>53047.574999999997</v>
      </c>
      <c r="AQ31" s="12">
        <f>+Dietary_Sample[[#This Row],[Cook average]]*Dietary_Sample[[#This Row],[Cook Hours]]</f>
        <v>53047.574999999997</v>
      </c>
      <c r="AR31" s="12">
        <f>+Dietary_Sample[[#This Row],[Est average Aide wage cost]]+Dietary_Sample[[#This Row],[Est average Cook wage cost]]</f>
        <v>186915.92499999999</v>
      </c>
      <c r="AS31" s="12">
        <f>+Dietary_Sample[[#This Row],[Est average Aide wage cost]]+Dietary_Sample[[#This Row],[Est average Cook wage cost]]</f>
        <v>186915.92499999999</v>
      </c>
      <c r="AT31" s="14">
        <f>IF(Dietary_Sample[[#This Row],[Aide cost estimator]]=0,0,Dietary_Sample[[#This Row],[Est median Aide wage cost ]]/Dietary_Sample[[#This Row],[Aide cost estimator]])</f>
        <v>0.92187482932060905</v>
      </c>
      <c r="AU31" s="14">
        <f>IF(Dietary_Sample[[#This Row],[Aide cost estimator]]=0,0,Dietary_Sample[[#This Row],[Est average Aide wage cost]]/Dietary_Sample[[#This Row],[Aide cost estimator]])</f>
        <v>0.93055987805422979</v>
      </c>
      <c r="AV31" s="14">
        <f>IF(Dietary_Sample[[#This Row],[Cook cost estimator]]=0,0,Dietary_Sample[[#This Row],[Est median Cook wage cost]]/Dietary_Sample[[#This Row],[Cook cost estimator]])</f>
        <v>0.92187482932060916</v>
      </c>
      <c r="AW31" s="14">
        <f>IF(Dietary_Sample[[#This Row],[Cook cost estimator]]=0,0,Dietary_Sample[[#This Row],[Est average Cook wage cost]]/Dietary_Sample[[#This Row],[Cook cost estimator]])</f>
        <v>0.92187482932060916</v>
      </c>
      <c r="AX31" s="14">
        <f>IF(Dietary_Sample[[#This Row],[Aide median]]=0,0,Dietary_Sample[[#This Row],[Aide min]]/Dietary_Sample[[#This Row],[Aide median]])</f>
        <v>0.970873786407767</v>
      </c>
      <c r="AY31" s="14">
        <f>IF(Dietary_Sample[[#This Row],[Aide median]]=0,0,Dietary_Sample[[#This Row],[Aide max]]/Dietary_Sample[[#This Row],[Aide median]])</f>
        <v>1.1184466019417476</v>
      </c>
      <c r="AZ31" s="14">
        <f>IF(Dietary_Sample[[#This Row],[Cook median]]=0,0,Dietary_Sample[[#This Row],[Cook min]]/Dietary_Sample[[#This Row],[Cook median]])</f>
        <v>0.98597626752966572</v>
      </c>
      <c r="BA31" s="14">
        <f>IF(Dietary_Sample[[#This Row],[Cook median]]=0,0,Dietary_Sample[[#This Row],[Cook max]]/Dietary_Sample[[#This Row],[Cook median]])</f>
        <v>1.0140237324703345</v>
      </c>
      <c r="BB31" s="12">
        <f>VLOOKUP(A31,Summary!$1:$1048576,2,FALSE)</f>
        <v>2</v>
      </c>
    </row>
    <row r="32" spans="1:54" x14ac:dyDescent="0.55000000000000004">
      <c r="A32" s="10">
        <v>420</v>
      </c>
      <c r="B32" s="10" t="s">
        <v>54</v>
      </c>
      <c r="C32" s="10">
        <f>VLOOKUP($A32,'SAS Data'!$1:$1048576,MATCH(C$1,'SAS Data'!$3:$3,0),FALSE)</f>
        <v>5</v>
      </c>
      <c r="D32" s="10">
        <f>VLOOKUP($A32,'SAS Data'!$1:$1048576,MATCH(D$1,'SAS Data'!$3:$3,0),FALSE)</f>
        <v>4</v>
      </c>
      <c r="E32" s="10">
        <f t="shared" si="1"/>
        <v>9</v>
      </c>
      <c r="F32" s="11">
        <f>VLOOKUP($A32,'SAS Data'!$1:$1048576,MATCH(F$1,'SAS Data'!$3:$3,0),FALSE)</f>
        <v>17.797544409613373</v>
      </c>
      <c r="G32" s="12">
        <f>+Dietary_Sample[[#This Row],[Diet Cph]]*Dietary_Sample[[#This Row],[Diet Hrsn]]</f>
        <v>204386.99999999997</v>
      </c>
      <c r="H3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124518.84923076924</v>
      </c>
      <c r="I32" s="17">
        <f>+Dietary_Sample[[#This Row],[Employee count Sample Data Aide]]/Dietary_Sample[[#This Row],[Total aide &amp; Cook]]*Dietary_Sample[[#This Row],[Diet Hrsn]]</f>
        <v>6890.4</v>
      </c>
      <c r="J32" s="13">
        <f>IF(Dietary_Sample[[#This Row],[Aide Hours]]=0,0,Dietary_Sample[[#This Row],[Aide cost estimator]]/Dietary_Sample[[#This Row],[Aide Hours]])</f>
        <v>18.071352785145891</v>
      </c>
      <c r="K3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79868.150769230779</v>
      </c>
      <c r="L32" s="17">
        <f>+Dietary_Sample[[#This Row],[Employee count Sample Data Cook]]/Dietary_Sample[[#This Row],[Total aide &amp; Cook]]*Dietary_Sample[[#This Row],[Diet Hrsn]]</f>
        <v>4593.6000000000004</v>
      </c>
      <c r="M32" s="13">
        <f>IF(Dietary_Sample[[#This Row],[Cook Hours]]=0,0,Dietary_Sample[[#This Row],[Cook cost estimator]]/Dietary_Sample[[#This Row],[Cook Hours]])</f>
        <v>17.386831846314607</v>
      </c>
      <c r="N32" s="12">
        <f>VLOOKUP(A32,'Estimator data 120523'!$A:$F,5,FALSE)</f>
        <v>204387</v>
      </c>
      <c r="O32" s="12">
        <f>VLOOKUP($A32,'SAS Data'!$1:$1048576,MATCH(O$1,'SAS Data'!$3:$3,0),FALSE)</f>
        <v>11484</v>
      </c>
      <c r="P32" s="13">
        <f>+Dietary_Sample[[#This Row],[Cost Estimator]]/Dietary_Sample[[#This Row],[Diet Hrsn]]</f>
        <v>17.797544409613376</v>
      </c>
      <c r="Q32" s="10">
        <f>COUNTIFS('Dietary Detail'!$R:$R,$A32,'Dietary Detail'!$U:$U,RIGHT(Q$1,4))</f>
        <v>3</v>
      </c>
      <c r="R32" s="10">
        <f>COUNTIFS('Dietary Detail'!$R:$R,$A32,'Dietary Detail'!$U:$U,RIGHT(R$1,4))</f>
        <v>2</v>
      </c>
      <c r="S32" s="10">
        <f>+Dietary_Sample[[#This Row],[Employee count Sample Data Aide]]+Dietary_Sample[[#This Row],[Employee count Sample Data Cook]]</f>
        <v>5</v>
      </c>
      <c r="T32" s="13">
        <v>14</v>
      </c>
      <c r="U32" s="13">
        <v>18.25</v>
      </c>
      <c r="V32" s="13">
        <v>16.5</v>
      </c>
      <c r="W32" s="13">
        <v>16.25</v>
      </c>
      <c r="X32" s="13">
        <v>15</v>
      </c>
      <c r="Y32" s="13">
        <v>16.75</v>
      </c>
      <c r="Z32" s="13">
        <v>15.875</v>
      </c>
      <c r="AA32" s="13">
        <v>15.875</v>
      </c>
      <c r="AB32" s="13">
        <f>IF(AND(Dietary_Sample[[#This Row],[Aide median]]=0,Dietary_Sample[[#This Row],[Cook median]]=0),0,IF(Dietary_Sample[[#This Row],[Aide median]]=0,1,Dietary_Sample[[#This Row],[Cook median]]/Dietary_Sample[[#This Row],[Aide median]]))</f>
        <v>0.96212121212121215</v>
      </c>
      <c r="AC32" s="13">
        <f>IF(AND(Dietary_Sample[[#This Row],[Aide average]]=0,Dietary_Sample[[#This Row],[Cook average]]=0),0,IF(Dietary_Sample[[#This Row],[Aide average]]=0,1,Dietary_Sample[[#This Row],[Cook average]]/Dietary_Sample[[#This Row],[Aide average]]))</f>
        <v>0.97692307692307689</v>
      </c>
      <c r="AD32" s="37">
        <f>COUNTIFS('Dietary Detail'!$R:$R,$A32,'Dietary Detail'!$T:$T,"&lt;"&amp;V32,'Dietary Detail'!$U:$U,RIGHT(AD$1,4))</f>
        <v>1</v>
      </c>
      <c r="AE32" s="37">
        <f>COUNTIFS('Dietary Detail'!$R:$R,$A32,'Dietary Detail'!$T:$T,"&lt;"&amp;W32,'Dietary Detail'!$U:$U,RIGHT(AE$1,4))</f>
        <v>1</v>
      </c>
      <c r="AF32" s="37">
        <f>COUNTIFS('Dietary Detail'!$R:$R,$A32,'Dietary Detail'!$T:$T,"&lt;"&amp;$BG$3,'Dietary Detail'!$U:$U,RIGHT(AF$1,4))</f>
        <v>3</v>
      </c>
      <c r="AG32" s="37">
        <f>COUNTIFS('Dietary Detail'!$R:$R,$A32,'Dietary Detail'!$T:$T,"&lt;"&amp;$BG$4,'Dietary Detail'!$U:$U,RIGHT(AG$1,4))</f>
        <v>1</v>
      </c>
      <c r="AH32" s="37">
        <f>COUNTIFS('Dietary Detail'!$R:$R,$A32,'Dietary Detail'!$T:$T,"&lt;"&amp;$BG$5,'Dietary Detail'!$U:$U,RIGHT(AH$1,4))</f>
        <v>2</v>
      </c>
      <c r="AI32" s="37">
        <f>COUNTIFS('Dietary Detail'!$R:$R,$A32,'Dietary Detail'!$T:$T,"&lt;"&amp;Z32,'Dietary Detail'!$U:$U,RIGHT(AI$1,4))</f>
        <v>1</v>
      </c>
      <c r="AJ32" s="37">
        <f>COUNTIFS('Dietary Detail'!$R:$R,$A32,'Dietary Detail'!$T:$T,"&lt;"&amp;AA32,'Dietary Detail'!$U:$U,RIGHT(AJ$1,4))</f>
        <v>1</v>
      </c>
      <c r="AK32" s="37">
        <f>COUNTIFS('Dietary Detail'!$R:$R,$A32,'Dietary Detail'!$T:$T,"&lt;"&amp;$BH$3,'Dietary Detail'!$U:$U,RIGHT(AK$1,4))</f>
        <v>2</v>
      </c>
      <c r="AL32" s="37">
        <f>COUNTIFS('Dietary Detail'!$R:$R,$A32,'Dietary Detail'!$T:$T,"&lt;"&amp;$BH$4,'Dietary Detail'!$U:$U,RIGHT(AL$1,4))</f>
        <v>2</v>
      </c>
      <c r="AM32" s="37">
        <f>COUNTIFS('Dietary Detail'!$R:$R,$A32,'Dietary Detail'!$T:$T,"&lt;"&amp;$BH$5,'Dietary Detail'!$U:$U,RIGHT(AM$1,4))</f>
        <v>2</v>
      </c>
      <c r="AN32" s="12">
        <f>+Dietary_Sample[[#This Row],[Aide median]]*Dietary_Sample[[#This Row],[Aide Hours]]</f>
        <v>113691.59999999999</v>
      </c>
      <c r="AO32" s="12">
        <f>+Dietary_Sample[[#This Row],[Aide average]]*Dietary_Sample[[#This Row],[Aide Hours]]</f>
        <v>111969</v>
      </c>
      <c r="AP32" s="12">
        <f>+Dietary_Sample[[#This Row],[Cook median]]*Dietary_Sample[[#This Row],[Cook Hours]]</f>
        <v>72923.400000000009</v>
      </c>
      <c r="AQ32" s="12">
        <f>+Dietary_Sample[[#This Row],[Cook average]]*Dietary_Sample[[#This Row],[Cook Hours]]</f>
        <v>72923.400000000009</v>
      </c>
      <c r="AR32" s="12">
        <f>+Dietary_Sample[[#This Row],[Est average Aide wage cost]]+Dietary_Sample[[#This Row],[Est average Cook wage cost]]</f>
        <v>184892.40000000002</v>
      </c>
      <c r="AS32" s="12">
        <f>+Dietary_Sample[[#This Row],[Est average Aide wage cost]]+Dietary_Sample[[#This Row],[Est average Cook wage cost]]</f>
        <v>184892.40000000002</v>
      </c>
      <c r="AT32" s="14">
        <f>IF(Dietary_Sample[[#This Row],[Aide cost estimator]]=0,0,Dietary_Sample[[#This Row],[Est median Aide wage cost ]]/Dietary_Sample[[#This Row],[Aide cost estimator]])</f>
        <v>0.9130473073140658</v>
      </c>
      <c r="AU32" s="14">
        <f>IF(Dietary_Sample[[#This Row],[Aide cost estimator]]=0,0,Dietary_Sample[[#This Row],[Est average Aide wage cost]]/Dietary_Sample[[#This Row],[Aide cost estimator]])</f>
        <v>0.89921325720324674</v>
      </c>
      <c r="AV32" s="14">
        <f>IF(Dietary_Sample[[#This Row],[Cook cost estimator]]=0,0,Dietary_Sample[[#This Row],[Est median Cook wage cost]]/Dietary_Sample[[#This Row],[Cook cost estimator]])</f>
        <v>0.91304730731406591</v>
      </c>
      <c r="AW32" s="14">
        <f>IF(Dietary_Sample[[#This Row],[Cook cost estimator]]=0,0,Dietary_Sample[[#This Row],[Est average Cook wage cost]]/Dietary_Sample[[#This Row],[Cook cost estimator]])</f>
        <v>0.91304730731406591</v>
      </c>
      <c r="AX32" s="14">
        <f>IF(Dietary_Sample[[#This Row],[Aide median]]=0,0,Dietary_Sample[[#This Row],[Aide min]]/Dietary_Sample[[#This Row],[Aide median]])</f>
        <v>0.84848484848484851</v>
      </c>
      <c r="AY32" s="14">
        <f>IF(Dietary_Sample[[#This Row],[Aide median]]=0,0,Dietary_Sample[[#This Row],[Aide max]]/Dietary_Sample[[#This Row],[Aide median]])</f>
        <v>1.106060606060606</v>
      </c>
      <c r="AZ32" s="14">
        <f>IF(Dietary_Sample[[#This Row],[Cook median]]=0,0,Dietary_Sample[[#This Row],[Cook min]]/Dietary_Sample[[#This Row],[Cook median]])</f>
        <v>0.94488188976377951</v>
      </c>
      <c r="BA32" s="14">
        <f>IF(Dietary_Sample[[#This Row],[Cook median]]=0,0,Dietary_Sample[[#This Row],[Cook max]]/Dietary_Sample[[#This Row],[Cook median]])</f>
        <v>1.0551181102362204</v>
      </c>
      <c r="BB32" s="12">
        <f>VLOOKUP(A32,Summary!$1:$1048576,2,FALSE)</f>
        <v>1</v>
      </c>
    </row>
    <row r="33" spans="1:54" x14ac:dyDescent="0.55000000000000004">
      <c r="A33" s="10">
        <v>421</v>
      </c>
      <c r="B33" s="10" t="s">
        <v>54</v>
      </c>
      <c r="C33" s="10">
        <f>VLOOKUP($A33,'SAS Data'!$1:$1048576,MATCH(C$1,'SAS Data'!$3:$3,0),FALSE)</f>
        <v>3</v>
      </c>
      <c r="D33" s="10">
        <f>VLOOKUP($A33,'SAS Data'!$1:$1048576,MATCH(D$1,'SAS Data'!$3:$3,0),FALSE)</f>
        <v>4</v>
      </c>
      <c r="E33" s="10">
        <f t="shared" si="1"/>
        <v>7</v>
      </c>
      <c r="F33" s="11">
        <f>VLOOKUP($A33,'SAS Data'!$1:$1048576,MATCH(F$1,'SAS Data'!$3:$3,0),FALSE)</f>
        <v>9.9911588441227064</v>
      </c>
      <c r="G33" s="12">
        <f>+Dietary_Sample[[#This Row],[Diet Cph]]*Dietary_Sample[[#This Row],[Diet Hrsn]]</f>
        <v>168380.99999999997</v>
      </c>
      <c r="H3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100741.03351391056</v>
      </c>
      <c r="I33" s="17">
        <f>+Dietary_Sample[[#This Row],[Employee count Sample Data Aide]]/Dietary_Sample[[#This Row],[Total aide &amp; Cook]]*Dietary_Sample[[#This Row],[Diet Hrsn]]</f>
        <v>10834.071428571429</v>
      </c>
      <c r="J33" s="13">
        <f>IF(Dietary_Sample[[#This Row],[Aide Hours]]=0,0,Dietary_Sample[[#This Row],[Aide cost estimator]]/Dietary_Sample[[#This Row],[Aide Hours]])</f>
        <v>9.2985387975418003</v>
      </c>
      <c r="K3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67639.966486089426</v>
      </c>
      <c r="L33" s="17">
        <f>+Dietary_Sample[[#This Row],[Employee count Sample Data Cook]]/Dietary_Sample[[#This Row],[Total aide &amp; Cook]]*Dietary_Sample[[#This Row],[Diet Hrsn]]</f>
        <v>6018.9285714285716</v>
      </c>
      <c r="M33" s="13">
        <f>IF(Dietary_Sample[[#This Row],[Cook Hours]]=0,0,Dietary_Sample[[#This Row],[Cook cost estimator]]/Dietary_Sample[[#This Row],[Cook Hours]])</f>
        <v>11.237874927968337</v>
      </c>
      <c r="N33" s="12">
        <f>VLOOKUP(A33,'Estimator data 120523'!$A:$F,5,FALSE)</f>
        <v>168381</v>
      </c>
      <c r="O33" s="12">
        <f>VLOOKUP($A33,'SAS Data'!$1:$1048576,MATCH(O$1,'SAS Data'!$3:$3,0),FALSE)</f>
        <v>16853</v>
      </c>
      <c r="P33" s="13">
        <f>+Dietary_Sample[[#This Row],[Cost Estimator]]/Dietary_Sample[[#This Row],[Diet Hrsn]]</f>
        <v>9.9911588441227082</v>
      </c>
      <c r="Q33" s="10">
        <f>COUNTIFS('Dietary Detail'!$R:$R,$A33,'Dietary Detail'!$U:$U,RIGHT(Q$1,4))</f>
        <v>9</v>
      </c>
      <c r="R33" s="10">
        <f>COUNTIFS('Dietary Detail'!$R:$R,$A33,'Dietary Detail'!$U:$U,RIGHT(R$1,4))</f>
        <v>5</v>
      </c>
      <c r="S33" s="10">
        <f>+Dietary_Sample[[#This Row],[Employee count Sample Data Aide]]+Dietary_Sample[[#This Row],[Employee count Sample Data Cook]]</f>
        <v>14</v>
      </c>
      <c r="T33" s="13">
        <v>14.06</v>
      </c>
      <c r="U33" s="13">
        <v>16.32</v>
      </c>
      <c r="V33" s="13">
        <v>14.48</v>
      </c>
      <c r="W33" s="13">
        <v>14.894444444444446</v>
      </c>
      <c r="X33" s="13">
        <v>16.239999999999998</v>
      </c>
      <c r="Y33" s="13">
        <v>18.5</v>
      </c>
      <c r="Z33" s="13">
        <v>17.5</v>
      </c>
      <c r="AA33" s="13">
        <v>17.346</v>
      </c>
      <c r="AB33" s="13">
        <f>IF(AND(Dietary_Sample[[#This Row],[Aide median]]=0,Dietary_Sample[[#This Row],[Cook median]]=0),0,IF(Dietary_Sample[[#This Row],[Aide median]]=0,1,Dietary_Sample[[#This Row],[Cook median]]/Dietary_Sample[[#This Row],[Aide median]]))</f>
        <v>1.2085635359116023</v>
      </c>
      <c r="AC33" s="13">
        <f>IF(AND(Dietary_Sample[[#This Row],[Aide average]]=0,Dietary_Sample[[#This Row],[Cook average]]=0),0,IF(Dietary_Sample[[#This Row],[Aide average]]=0,1,Dietary_Sample[[#This Row],[Cook average]]/Dietary_Sample[[#This Row],[Aide average]]))</f>
        <v>1.1645953002610965</v>
      </c>
      <c r="AD33" s="37">
        <f>COUNTIFS('Dietary Detail'!$R:$R,$A33,'Dietary Detail'!$T:$T,"&lt;"&amp;V33,'Dietary Detail'!$U:$U,RIGHT(AD$1,4))</f>
        <v>2</v>
      </c>
      <c r="AE33" s="37">
        <f>COUNTIFS('Dietary Detail'!$R:$R,$A33,'Dietary Detail'!$T:$T,"&lt;"&amp;W33,'Dietary Detail'!$U:$U,RIGHT(AE$1,4))</f>
        <v>6</v>
      </c>
      <c r="AF33" s="37">
        <f>COUNTIFS('Dietary Detail'!$R:$R,$A33,'Dietary Detail'!$T:$T,"&lt;"&amp;$BG$3,'Dietary Detail'!$U:$U,RIGHT(AF$1,4))</f>
        <v>9</v>
      </c>
      <c r="AG33" s="37">
        <f>COUNTIFS('Dietary Detail'!$R:$R,$A33,'Dietary Detail'!$T:$T,"&lt;"&amp;$BG$4,'Dietary Detail'!$U:$U,RIGHT(AG$1,4))</f>
        <v>7</v>
      </c>
      <c r="AH33" s="37">
        <f>COUNTIFS('Dietary Detail'!$R:$R,$A33,'Dietary Detail'!$T:$T,"&lt;"&amp;$BG$5,'Dietary Detail'!$U:$U,RIGHT(AH$1,4))</f>
        <v>9</v>
      </c>
      <c r="AI33" s="37">
        <f>COUNTIFS('Dietary Detail'!$R:$R,$A33,'Dietary Detail'!$T:$T,"&lt;"&amp;Z33,'Dietary Detail'!$U:$U,RIGHT(AI$1,4))</f>
        <v>2</v>
      </c>
      <c r="AJ33" s="37">
        <f>COUNTIFS('Dietary Detail'!$R:$R,$A33,'Dietary Detail'!$T:$T,"&lt;"&amp;AA33,'Dietary Detail'!$U:$U,RIGHT(AJ$1,4))</f>
        <v>2</v>
      </c>
      <c r="AK33" s="37">
        <f>COUNTIFS('Dietary Detail'!$R:$R,$A33,'Dietary Detail'!$T:$T,"&lt;"&amp;$BH$3,'Dietary Detail'!$U:$U,RIGHT(AK$1,4))</f>
        <v>5</v>
      </c>
      <c r="AL33" s="37">
        <f>COUNTIFS('Dietary Detail'!$R:$R,$A33,'Dietary Detail'!$T:$T,"&lt;"&amp;$BH$4,'Dietary Detail'!$U:$U,RIGHT(AL$1,4))</f>
        <v>5</v>
      </c>
      <c r="AM33" s="37">
        <f>COUNTIFS('Dietary Detail'!$R:$R,$A33,'Dietary Detail'!$T:$T,"&lt;"&amp;$BH$5,'Dietary Detail'!$U:$U,RIGHT(AM$1,4))</f>
        <v>5</v>
      </c>
      <c r="AN33" s="12">
        <f>+Dietary_Sample[[#This Row],[Aide median]]*Dietary_Sample[[#This Row],[Aide Hours]]</f>
        <v>156877.3542857143</v>
      </c>
      <c r="AO33" s="12">
        <f>+Dietary_Sample[[#This Row],[Aide average]]*Dietary_Sample[[#This Row],[Aide Hours]]</f>
        <v>161367.47500000003</v>
      </c>
      <c r="AP33" s="12">
        <f>+Dietary_Sample[[#This Row],[Cook median]]*Dietary_Sample[[#This Row],[Cook Hours]]</f>
        <v>105331.25</v>
      </c>
      <c r="AQ33" s="12">
        <f>+Dietary_Sample[[#This Row],[Cook average]]*Dietary_Sample[[#This Row],[Cook Hours]]</f>
        <v>104404.33500000001</v>
      </c>
      <c r="AR33" s="12">
        <f>+Dietary_Sample[[#This Row],[Est average Aide wage cost]]+Dietary_Sample[[#This Row],[Est average Cook wage cost]]</f>
        <v>265771.81000000006</v>
      </c>
      <c r="AS33" s="12">
        <f>+Dietary_Sample[[#This Row],[Est average Aide wage cost]]+Dietary_Sample[[#This Row],[Est average Cook wage cost]]</f>
        <v>265771.81000000006</v>
      </c>
      <c r="AT33" s="14">
        <f>IF(Dietary_Sample[[#This Row],[Aide cost estimator]]=0,0,Dietary_Sample[[#This Row],[Est median Aide wage cost ]]/Dietary_Sample[[#This Row],[Aide cost estimator]])</f>
        <v>1.557233917637467</v>
      </c>
      <c r="AU33" s="14">
        <f>IF(Dietary_Sample[[#This Row],[Aide cost estimator]]=0,0,Dietary_Sample[[#This Row],[Est average Aide wage cost]]/Dietary_Sample[[#This Row],[Aide cost estimator]])</f>
        <v>1.601804839313248</v>
      </c>
      <c r="AV33" s="14">
        <f>IF(Dietary_Sample[[#This Row],[Cook cost estimator]]=0,0,Dietary_Sample[[#This Row],[Est median Cook wage cost]]/Dietary_Sample[[#This Row],[Cook cost estimator]])</f>
        <v>1.5572339176374668</v>
      </c>
      <c r="AW33" s="14">
        <f>IF(Dietary_Sample[[#This Row],[Cook cost estimator]]=0,0,Dietary_Sample[[#This Row],[Est average Cook wage cost]]/Dietary_Sample[[#This Row],[Cook cost estimator]])</f>
        <v>1.5435302591622573</v>
      </c>
      <c r="AX33" s="14">
        <f>IF(Dietary_Sample[[#This Row],[Aide median]]=0,0,Dietary_Sample[[#This Row],[Aide min]]/Dietary_Sample[[#This Row],[Aide median]])</f>
        <v>0.97099447513812154</v>
      </c>
      <c r="AY33" s="14">
        <f>IF(Dietary_Sample[[#This Row],[Aide median]]=0,0,Dietary_Sample[[#This Row],[Aide max]]/Dietary_Sample[[#This Row],[Aide median]])</f>
        <v>1.1270718232044199</v>
      </c>
      <c r="AZ33" s="14">
        <f>IF(Dietary_Sample[[#This Row],[Cook median]]=0,0,Dietary_Sample[[#This Row],[Cook min]]/Dietary_Sample[[#This Row],[Cook median]])</f>
        <v>0.92799999999999994</v>
      </c>
      <c r="BA33" s="14">
        <f>IF(Dietary_Sample[[#This Row],[Cook median]]=0,0,Dietary_Sample[[#This Row],[Cook max]]/Dietary_Sample[[#This Row],[Cook median]])</f>
        <v>1.0571428571428572</v>
      </c>
      <c r="BB33" s="12">
        <f>VLOOKUP(A33,Summary!$1:$1048576,2,FALSE)</f>
        <v>1</v>
      </c>
    </row>
    <row r="34" spans="1:54" x14ac:dyDescent="0.55000000000000004">
      <c r="A34" s="10">
        <v>423</v>
      </c>
      <c r="B34" s="10" t="s">
        <v>54</v>
      </c>
      <c r="C34" s="10">
        <f>VLOOKUP($A34,'SAS Data'!$1:$1048576,MATCH(C$1,'SAS Data'!$3:$3,0),FALSE)</f>
        <v>7</v>
      </c>
      <c r="D34" s="10">
        <f>VLOOKUP($A34,'SAS Data'!$1:$1048576,MATCH(D$1,'SAS Data'!$3:$3,0),FALSE)</f>
        <v>6</v>
      </c>
      <c r="E34" s="10">
        <f t="shared" si="1"/>
        <v>13</v>
      </c>
      <c r="F34" s="11">
        <f>VLOOKUP($A34,'SAS Data'!$1:$1048576,MATCH(F$1,'SAS Data'!$3:$3,0),FALSE)</f>
        <v>11.848051157125456</v>
      </c>
      <c r="G34" s="12">
        <f>+Dietary_Sample[[#This Row],[Diet Cph]]*Dietary_Sample[[#This Row],[Diet Hrsn]]</f>
        <v>194544.99999999997</v>
      </c>
      <c r="H3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85783.622047244091</v>
      </c>
      <c r="I34" s="17">
        <f>+Dietary_Sample[[#This Row],[Employee count Sample Data Aide]]/Dietary_Sample[[#This Row],[Total aide &amp; Cook]]*Dietary_Sample[[#This Row],[Diet Hrsn]]</f>
        <v>8210</v>
      </c>
      <c r="J34" s="13">
        <f>IF(Dietary_Sample[[#This Row],[Aide Hours]]=0,0,Dietary_Sample[[#This Row],[Aide cost estimator]]/Dietary_Sample[[#This Row],[Aide Hours]])</f>
        <v>10.448675036205127</v>
      </c>
      <c r="K3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108761.37795275591</v>
      </c>
      <c r="L34" s="17">
        <f>+Dietary_Sample[[#This Row],[Employee count Sample Data Cook]]/Dietary_Sample[[#This Row],[Total aide &amp; Cook]]*Dietary_Sample[[#This Row],[Diet Hrsn]]</f>
        <v>8210</v>
      </c>
      <c r="M34" s="13">
        <f>IF(Dietary_Sample[[#This Row],[Cook Hours]]=0,0,Dietary_Sample[[#This Row],[Cook cost estimator]]/Dietary_Sample[[#This Row],[Cook Hours]])</f>
        <v>13.247427278045787</v>
      </c>
      <c r="N34" s="12">
        <f>VLOOKUP(A34,'Estimator data 120523'!$A:$F,5,FALSE)</f>
        <v>194545</v>
      </c>
      <c r="O34" s="12">
        <f>VLOOKUP($A34,'SAS Data'!$1:$1048576,MATCH(O$1,'SAS Data'!$3:$3,0),FALSE)</f>
        <v>16420</v>
      </c>
      <c r="P34" s="13">
        <f>+Dietary_Sample[[#This Row],[Cost Estimator]]/Dietary_Sample[[#This Row],[Diet Hrsn]]</f>
        <v>11.848051157125457</v>
      </c>
      <c r="Q34" s="10">
        <f>COUNTIFS('Dietary Detail'!$R:$R,$A34,'Dietary Detail'!$U:$U,RIGHT(Q$1,4))</f>
        <v>6</v>
      </c>
      <c r="R34" s="10">
        <f>COUNTIFS('Dietary Detail'!$R:$R,$A34,'Dietary Detail'!$U:$U,RIGHT(R$1,4))</f>
        <v>6</v>
      </c>
      <c r="S34" s="10">
        <f>+Dietary_Sample[[#This Row],[Employee count Sample Data Aide]]+Dietary_Sample[[#This Row],[Employee count Sample Data Cook]]</f>
        <v>12</v>
      </c>
      <c r="T34" s="13">
        <v>14</v>
      </c>
      <c r="U34" s="13">
        <v>15.5</v>
      </c>
      <c r="V34" s="13">
        <v>14</v>
      </c>
      <c r="W34" s="13">
        <v>14.5</v>
      </c>
      <c r="X34" s="13">
        <v>16</v>
      </c>
      <c r="Y34" s="13">
        <v>17.5</v>
      </c>
      <c r="Z34" s="13">
        <v>17.75</v>
      </c>
      <c r="AA34" s="13">
        <v>17.583333333333332</v>
      </c>
      <c r="AB34" s="13">
        <f>IF(AND(Dietary_Sample[[#This Row],[Aide median]]=0,Dietary_Sample[[#This Row],[Cook median]]=0),0,IF(Dietary_Sample[[#This Row],[Aide median]]=0,1,Dietary_Sample[[#This Row],[Cook median]]/Dietary_Sample[[#This Row],[Aide median]]))</f>
        <v>1.2678571428571428</v>
      </c>
      <c r="AC34" s="13">
        <f>IF(AND(Dietary_Sample[[#This Row],[Aide average]]=0,Dietary_Sample[[#This Row],[Cook average]]=0),0,IF(Dietary_Sample[[#This Row],[Aide average]]=0,1,Dietary_Sample[[#This Row],[Cook average]]/Dietary_Sample[[#This Row],[Aide average]]))</f>
        <v>1.2126436781609196</v>
      </c>
      <c r="AD34" s="37">
        <f>COUNTIFS('Dietary Detail'!$R:$R,$A34,'Dietary Detail'!$T:$T,"&lt;"&amp;V34,'Dietary Detail'!$U:$U,RIGHT(AD$1,4))</f>
        <v>0</v>
      </c>
      <c r="AE34" s="37">
        <f>COUNTIFS('Dietary Detail'!$R:$R,$A34,'Dietary Detail'!$T:$T,"&lt;"&amp;W34,'Dietary Detail'!$U:$U,RIGHT(AE$1,4))</f>
        <v>4</v>
      </c>
      <c r="AF34" s="37">
        <f>COUNTIFS('Dietary Detail'!$R:$R,$A34,'Dietary Detail'!$T:$T,"&lt;"&amp;$BG$3,'Dietary Detail'!$U:$U,RIGHT(AF$1,4))</f>
        <v>6</v>
      </c>
      <c r="AG34" s="37">
        <f>COUNTIFS('Dietary Detail'!$R:$R,$A34,'Dietary Detail'!$T:$T,"&lt;"&amp;$BG$4,'Dietary Detail'!$U:$U,RIGHT(AG$1,4))</f>
        <v>6</v>
      </c>
      <c r="AH34" s="37">
        <f>COUNTIFS('Dietary Detail'!$R:$R,$A34,'Dietary Detail'!$T:$T,"&lt;"&amp;$BG$5,'Dietary Detail'!$U:$U,RIGHT(AH$1,4))</f>
        <v>6</v>
      </c>
      <c r="AI34" s="37">
        <f>COUNTIFS('Dietary Detail'!$R:$R,$A34,'Dietary Detail'!$T:$T,"&lt;"&amp;Z34,'Dietary Detail'!$U:$U,RIGHT(AI$1,4))</f>
        <v>3</v>
      </c>
      <c r="AJ34" s="37">
        <f>COUNTIFS('Dietary Detail'!$R:$R,$A34,'Dietary Detail'!$T:$T,"&lt;"&amp;AA34,'Dietary Detail'!$U:$U,RIGHT(AJ$1,4))</f>
        <v>3</v>
      </c>
      <c r="AK34" s="37">
        <f>COUNTIFS('Dietary Detail'!$R:$R,$A34,'Dietary Detail'!$T:$T,"&lt;"&amp;$BH$3,'Dietary Detail'!$U:$U,RIGHT(AK$1,4))</f>
        <v>6</v>
      </c>
      <c r="AL34" s="37">
        <f>COUNTIFS('Dietary Detail'!$R:$R,$A34,'Dietary Detail'!$T:$T,"&lt;"&amp;$BH$4,'Dietary Detail'!$U:$U,RIGHT(AL$1,4))</f>
        <v>6</v>
      </c>
      <c r="AM34" s="37">
        <f>COUNTIFS('Dietary Detail'!$R:$R,$A34,'Dietary Detail'!$T:$T,"&lt;"&amp;$BH$5,'Dietary Detail'!$U:$U,RIGHT(AM$1,4))</f>
        <v>6</v>
      </c>
      <c r="AN34" s="12">
        <f>+Dietary_Sample[[#This Row],[Aide median]]*Dietary_Sample[[#This Row],[Aide Hours]]</f>
        <v>114940</v>
      </c>
      <c r="AO34" s="12">
        <f>+Dietary_Sample[[#This Row],[Aide average]]*Dietary_Sample[[#This Row],[Aide Hours]]</f>
        <v>119045</v>
      </c>
      <c r="AP34" s="12">
        <f>+Dietary_Sample[[#This Row],[Cook median]]*Dietary_Sample[[#This Row],[Cook Hours]]</f>
        <v>145727.5</v>
      </c>
      <c r="AQ34" s="12">
        <f>+Dietary_Sample[[#This Row],[Cook average]]*Dietary_Sample[[#This Row],[Cook Hours]]</f>
        <v>144359.16666666666</v>
      </c>
      <c r="AR34" s="12">
        <f>+Dietary_Sample[[#This Row],[Est average Aide wage cost]]+Dietary_Sample[[#This Row],[Est average Cook wage cost]]</f>
        <v>263404.16666666663</v>
      </c>
      <c r="AS34" s="12">
        <f>+Dietary_Sample[[#This Row],[Est average Aide wage cost]]+Dietary_Sample[[#This Row],[Est average Cook wage cost]]</f>
        <v>263404.16666666663</v>
      </c>
      <c r="AT34" s="14">
        <f>IF(Dietary_Sample[[#This Row],[Aide cost estimator]]=0,0,Dietary_Sample[[#This Row],[Est median Aide wage cost ]]/Dietary_Sample[[#This Row],[Aide cost estimator]])</f>
        <v>1.3398828034644941</v>
      </c>
      <c r="AU34" s="14">
        <f>IF(Dietary_Sample[[#This Row],[Aide cost estimator]]=0,0,Dietary_Sample[[#This Row],[Est average Aide wage cost]]/Dietary_Sample[[#This Row],[Aide cost estimator]])</f>
        <v>1.3877357607310832</v>
      </c>
      <c r="AV34" s="14">
        <f>IF(Dietary_Sample[[#This Row],[Cook cost estimator]]=0,0,Dietary_Sample[[#This Row],[Est median Cook wage cost]]/Dietary_Sample[[#This Row],[Cook cost estimator]])</f>
        <v>1.3398828034644941</v>
      </c>
      <c r="AW34" s="14">
        <f>IF(Dietary_Sample[[#This Row],[Cook cost estimator]]=0,0,Dietary_Sample[[#This Row],[Est average Cook wage cost]]/Dietary_Sample[[#This Row],[Cook cost estimator]])</f>
        <v>1.3273017442770338</v>
      </c>
      <c r="AX34" s="14">
        <f>IF(Dietary_Sample[[#This Row],[Aide median]]=0,0,Dietary_Sample[[#This Row],[Aide min]]/Dietary_Sample[[#This Row],[Aide median]])</f>
        <v>1</v>
      </c>
      <c r="AY34" s="14">
        <f>IF(Dietary_Sample[[#This Row],[Aide median]]=0,0,Dietary_Sample[[#This Row],[Aide max]]/Dietary_Sample[[#This Row],[Aide median]])</f>
        <v>1.1071428571428572</v>
      </c>
      <c r="AZ34" s="14">
        <f>IF(Dietary_Sample[[#This Row],[Cook median]]=0,0,Dietary_Sample[[#This Row],[Cook min]]/Dietary_Sample[[#This Row],[Cook median]])</f>
        <v>0.90140845070422537</v>
      </c>
      <c r="BA34" s="14">
        <f>IF(Dietary_Sample[[#This Row],[Cook median]]=0,0,Dietary_Sample[[#This Row],[Cook max]]/Dietary_Sample[[#This Row],[Cook median]])</f>
        <v>0.9859154929577465</v>
      </c>
      <c r="BB34" s="12">
        <f>VLOOKUP(A34,Summary!$1:$1048576,2,FALSE)</f>
        <v>2</v>
      </c>
    </row>
    <row r="35" spans="1:54" x14ac:dyDescent="0.55000000000000004">
      <c r="A35" s="10">
        <v>452</v>
      </c>
      <c r="B35" s="10" t="s">
        <v>54</v>
      </c>
      <c r="C35" s="10">
        <f>VLOOKUP($A35,'SAS Data'!$1:$1048576,MATCH(C$1,'SAS Data'!$3:$3,0),FALSE)</f>
        <v>4</v>
      </c>
      <c r="D35" s="10">
        <f>VLOOKUP($A35,'SAS Data'!$1:$1048576,MATCH(D$1,'SAS Data'!$3:$3,0),FALSE)</f>
        <v>11</v>
      </c>
      <c r="E35" s="10">
        <f t="shared" si="1"/>
        <v>15</v>
      </c>
      <c r="F35" s="11">
        <f>VLOOKUP($A35,'SAS Data'!$1:$1048576,MATCH(F$1,'SAS Data'!$3:$3,0),FALSE)</f>
        <v>18.72111653523595</v>
      </c>
      <c r="G35" s="12">
        <f>+Dietary_Sample[[#This Row],[Diet Cph]]*Dietary_Sample[[#This Row],[Diet Hrsn]]</f>
        <v>149563</v>
      </c>
      <c r="H3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86630.681338028167</v>
      </c>
      <c r="I35" s="17">
        <f>+Dietary_Sample[[#This Row],[Employee count Sample Data Aide]]/Dietary_Sample[[#This Row],[Total aide &amp; Cook]]*Dietary_Sample[[#This Row],[Diet Hrsn]]</f>
        <v>4916.3076923076924</v>
      </c>
      <c r="J35" s="13">
        <f>IF(Dietary_Sample[[#This Row],[Aide Hours]]=0,0,Dietary_Sample[[#This Row],[Aide cost estimator]]/Dietary_Sample[[#This Row],[Aide Hours]])</f>
        <v>17.621086140229789</v>
      </c>
      <c r="K3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62932.318661971833</v>
      </c>
      <c r="L35" s="17">
        <f>+Dietary_Sample[[#This Row],[Employee count Sample Data Cook]]/Dietary_Sample[[#This Row],[Total aide &amp; Cook]]*Dietary_Sample[[#This Row],[Diet Hrsn]]</f>
        <v>3072.6923076923081</v>
      </c>
      <c r="M35" s="13">
        <f>IF(Dietary_Sample[[#This Row],[Cook Hours]]=0,0,Dietary_Sample[[#This Row],[Cook cost estimator]]/Dietary_Sample[[#This Row],[Cook Hours]])</f>
        <v>20.481165167245805</v>
      </c>
      <c r="N35" s="12">
        <f>VLOOKUP(A35,'Estimator data 120523'!$A:$F,5,FALSE)</f>
        <v>149563</v>
      </c>
      <c r="O35" s="12">
        <f>VLOOKUP($A35,'SAS Data'!$1:$1048576,MATCH(O$1,'SAS Data'!$3:$3,0),FALSE)</f>
        <v>7989</v>
      </c>
      <c r="P35" s="13">
        <f>+Dietary_Sample[[#This Row],[Cost Estimator]]/Dietary_Sample[[#This Row],[Diet Hrsn]]</f>
        <v>18.72111653523595</v>
      </c>
      <c r="Q35" s="10">
        <f>COUNTIFS('Dietary Detail'!$R:$R,$A35,'Dietary Detail'!$U:$U,RIGHT(Q$1,4))</f>
        <v>8</v>
      </c>
      <c r="R35" s="10">
        <f>COUNTIFS('Dietary Detail'!$R:$R,$A35,'Dietary Detail'!$U:$U,RIGHT(R$1,4))</f>
        <v>5</v>
      </c>
      <c r="S35" s="10">
        <f>+Dietary_Sample[[#This Row],[Employee count Sample Data Aide]]+Dietary_Sample[[#This Row],[Employee count Sample Data Cook]]</f>
        <v>13</v>
      </c>
      <c r="T35" s="13">
        <v>15.5</v>
      </c>
      <c r="U35" s="13">
        <v>22.58</v>
      </c>
      <c r="V35" s="13">
        <v>16.45</v>
      </c>
      <c r="W35" s="13">
        <v>17.0625</v>
      </c>
      <c r="X35" s="13">
        <v>17.670000000000002</v>
      </c>
      <c r="Y35" s="13">
        <v>24.25</v>
      </c>
      <c r="Z35" s="13">
        <v>19.12</v>
      </c>
      <c r="AA35" s="13">
        <v>20.734000000000002</v>
      </c>
      <c r="AB35" s="13">
        <f>IF(AND(Dietary_Sample[[#This Row],[Aide median]]=0,Dietary_Sample[[#This Row],[Cook median]]=0),0,IF(Dietary_Sample[[#This Row],[Aide median]]=0,1,Dietary_Sample[[#This Row],[Cook median]]/Dietary_Sample[[#This Row],[Aide median]]))</f>
        <v>1.1623100303951368</v>
      </c>
      <c r="AC35" s="13">
        <f>IF(AND(Dietary_Sample[[#This Row],[Aide average]]=0,Dietary_Sample[[#This Row],[Cook average]]=0),0,IF(Dietary_Sample[[#This Row],[Aide average]]=0,1,Dietary_Sample[[#This Row],[Cook average]]/Dietary_Sample[[#This Row],[Aide average]]))</f>
        <v>1.2151794871794872</v>
      </c>
      <c r="AD35" s="37">
        <f>COUNTIFS('Dietary Detail'!$R:$R,$A35,'Dietary Detail'!$T:$T,"&lt;"&amp;V35,'Dietary Detail'!$U:$U,RIGHT(AD$1,4))</f>
        <v>3</v>
      </c>
      <c r="AE35" s="37">
        <f>COUNTIFS('Dietary Detail'!$R:$R,$A35,'Dietary Detail'!$T:$T,"&lt;"&amp;W35,'Dietary Detail'!$U:$U,RIGHT(AE$1,4))</f>
        <v>6</v>
      </c>
      <c r="AF35" s="37">
        <f>COUNTIFS('Dietary Detail'!$R:$R,$A35,'Dietary Detail'!$T:$T,"&lt;"&amp;$BG$3,'Dietary Detail'!$U:$U,RIGHT(AF$1,4))</f>
        <v>8</v>
      </c>
      <c r="AG35" s="37">
        <f>COUNTIFS('Dietary Detail'!$R:$R,$A35,'Dietary Detail'!$T:$T,"&lt;"&amp;$BG$4,'Dietary Detail'!$U:$U,RIGHT(AG$1,4))</f>
        <v>3</v>
      </c>
      <c r="AH35" s="37">
        <f>COUNTIFS('Dietary Detail'!$R:$R,$A35,'Dietary Detail'!$T:$T,"&lt;"&amp;$BG$5,'Dietary Detail'!$U:$U,RIGHT(AH$1,4))</f>
        <v>5</v>
      </c>
      <c r="AI35" s="37">
        <f>COUNTIFS('Dietary Detail'!$R:$R,$A35,'Dietary Detail'!$T:$T,"&lt;"&amp;Z35,'Dietary Detail'!$U:$U,RIGHT(AI$1,4))</f>
        <v>2</v>
      </c>
      <c r="AJ35" s="37">
        <f>COUNTIFS('Dietary Detail'!$R:$R,$A35,'Dietary Detail'!$T:$T,"&lt;"&amp;AA35,'Dietary Detail'!$U:$U,RIGHT(AJ$1,4))</f>
        <v>3</v>
      </c>
      <c r="AK35" s="37">
        <f>COUNTIFS('Dietary Detail'!$R:$R,$A35,'Dietary Detail'!$T:$T,"&lt;"&amp;$BH$3,'Dietary Detail'!$U:$U,RIGHT(AK$1,4))</f>
        <v>5</v>
      </c>
      <c r="AL35" s="37">
        <f>COUNTIFS('Dietary Detail'!$R:$R,$A35,'Dietary Detail'!$T:$T,"&lt;"&amp;$BH$4,'Dietary Detail'!$U:$U,RIGHT(AL$1,4))</f>
        <v>3</v>
      </c>
      <c r="AM35" s="37">
        <f>COUNTIFS('Dietary Detail'!$R:$R,$A35,'Dietary Detail'!$T:$T,"&lt;"&amp;$BH$5,'Dietary Detail'!$U:$U,RIGHT(AM$1,4))</f>
        <v>3</v>
      </c>
      <c r="AN35" s="12">
        <f>+Dietary_Sample[[#This Row],[Aide median]]*Dietary_Sample[[#This Row],[Aide Hours]]</f>
        <v>80873.261538461535</v>
      </c>
      <c r="AO35" s="12">
        <f>+Dietary_Sample[[#This Row],[Aide average]]*Dietary_Sample[[#This Row],[Aide Hours]]</f>
        <v>83884.5</v>
      </c>
      <c r="AP35" s="12">
        <f>+Dietary_Sample[[#This Row],[Cook median]]*Dietary_Sample[[#This Row],[Cook Hours]]</f>
        <v>58749.876923076932</v>
      </c>
      <c r="AQ35" s="12">
        <f>+Dietary_Sample[[#This Row],[Cook average]]*Dietary_Sample[[#This Row],[Cook Hours]]</f>
        <v>63709.202307692321</v>
      </c>
      <c r="AR35" s="12">
        <f>+Dietary_Sample[[#This Row],[Est average Aide wage cost]]+Dietary_Sample[[#This Row],[Est average Cook wage cost]]</f>
        <v>147593.70230769232</v>
      </c>
      <c r="AS35" s="12">
        <f>+Dietary_Sample[[#This Row],[Est average Aide wage cost]]+Dietary_Sample[[#This Row],[Est average Cook wage cost]]</f>
        <v>147593.70230769232</v>
      </c>
      <c r="AT35" s="14">
        <f>IF(Dietary_Sample[[#This Row],[Aide cost estimator]]=0,0,Dietary_Sample[[#This Row],[Est median Aide wage cost ]]/Dietary_Sample[[#This Row],[Aide cost estimator]])</f>
        <v>0.93354063813602606</v>
      </c>
      <c r="AU35" s="14">
        <f>IF(Dietary_Sample[[#This Row],[Aide cost estimator]]=0,0,Dietary_Sample[[#This Row],[Est average Aide wage cost]]/Dietary_Sample[[#This Row],[Aide cost estimator]])</f>
        <v>0.96830012998151638</v>
      </c>
      <c r="AV35" s="14">
        <f>IF(Dietary_Sample[[#This Row],[Cook cost estimator]]=0,0,Dietary_Sample[[#This Row],[Est median Cook wage cost]]/Dietary_Sample[[#This Row],[Cook cost estimator]])</f>
        <v>0.93354063813602617</v>
      </c>
      <c r="AW35" s="14">
        <f>IF(Dietary_Sample[[#This Row],[Cook cost estimator]]=0,0,Dietary_Sample[[#This Row],[Est average Cook wage cost]]/Dietary_Sample[[#This Row],[Cook cost estimator]])</f>
        <v>1.0123447484891406</v>
      </c>
      <c r="AX35" s="14">
        <f>IF(Dietary_Sample[[#This Row],[Aide median]]=0,0,Dietary_Sample[[#This Row],[Aide min]]/Dietary_Sample[[#This Row],[Aide median]])</f>
        <v>0.94224924012158062</v>
      </c>
      <c r="AY35" s="14">
        <f>IF(Dietary_Sample[[#This Row],[Aide median]]=0,0,Dietary_Sample[[#This Row],[Aide max]]/Dietary_Sample[[#This Row],[Aide median]])</f>
        <v>1.3726443768996961</v>
      </c>
      <c r="AZ35" s="14">
        <f>IF(Dietary_Sample[[#This Row],[Cook median]]=0,0,Dietary_Sample[[#This Row],[Cook min]]/Dietary_Sample[[#This Row],[Cook median]])</f>
        <v>0.92416317991631802</v>
      </c>
      <c r="BA35" s="14">
        <f>IF(Dietary_Sample[[#This Row],[Cook median]]=0,0,Dietary_Sample[[#This Row],[Cook max]]/Dietary_Sample[[#This Row],[Cook median]])</f>
        <v>1.268305439330544</v>
      </c>
      <c r="BB35" s="12">
        <f>VLOOKUP(A35,Summary!$1:$1048576,2,FALSE)</f>
        <v>1</v>
      </c>
    </row>
    <row r="36" spans="1:54" x14ac:dyDescent="0.55000000000000004">
      <c r="A36" s="10">
        <v>479</v>
      </c>
      <c r="B36" s="10" t="s">
        <v>54</v>
      </c>
      <c r="C36" s="10">
        <f>VLOOKUP($A36,'SAS Data'!$1:$1048576,MATCH(C$1,'SAS Data'!$3:$3,0),FALSE)</f>
        <v>4</v>
      </c>
      <c r="D36" s="10">
        <f>VLOOKUP($A36,'SAS Data'!$1:$1048576,MATCH(D$1,'SAS Data'!$3:$3,0),FALSE)</f>
        <v>4</v>
      </c>
      <c r="E36" s="10">
        <f t="shared" si="1"/>
        <v>8</v>
      </c>
      <c r="F36" s="11">
        <f>VLOOKUP($A36,'SAS Data'!$1:$1048576,MATCH(F$1,'SAS Data'!$3:$3,0),FALSE)</f>
        <v>18.115795487003712</v>
      </c>
      <c r="G36" s="12">
        <f>+Dietary_Sample[[#This Row],[Diet Cph]]*Dietary_Sample[[#This Row],[Diet Hrsn]]</f>
        <v>317117</v>
      </c>
      <c r="H3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193167.71573604058</v>
      </c>
      <c r="I36" s="17">
        <f>+Dietary_Sample[[#This Row],[Employee count Sample Data Aide]]/Dietary_Sample[[#This Row],[Total aide &amp; Cook]]*Dietary_Sample[[#This Row],[Diet Hrsn]]</f>
        <v>11670</v>
      </c>
      <c r="J36" s="13">
        <f>IF(Dietary_Sample[[#This Row],[Aide Hours]]=0,0,Dietary_Sample[[#This Row],[Aide cost estimator]]/Dietary_Sample[[#This Row],[Aide Hours]])</f>
        <v>16.552503490663288</v>
      </c>
      <c r="K3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123949.28426395939</v>
      </c>
      <c r="L36" s="17">
        <f>+Dietary_Sample[[#This Row],[Employee count Sample Data Cook]]/Dietary_Sample[[#This Row],[Total aide &amp; Cook]]*Dietary_Sample[[#This Row],[Diet Hrsn]]</f>
        <v>5835</v>
      </c>
      <c r="M36" s="13">
        <f>IF(Dietary_Sample[[#This Row],[Cook Hours]]=0,0,Dietary_Sample[[#This Row],[Cook cost estimator]]/Dietary_Sample[[#This Row],[Cook Hours]])</f>
        <v>21.242379479684555</v>
      </c>
      <c r="N36" s="12">
        <f>VLOOKUP(A36,'Estimator data 120523'!$A:$F,5,FALSE)</f>
        <v>317117</v>
      </c>
      <c r="O36" s="12">
        <f>VLOOKUP($A36,'SAS Data'!$1:$1048576,MATCH(O$1,'SAS Data'!$3:$3,0),FALSE)</f>
        <v>17505</v>
      </c>
      <c r="P36" s="13">
        <f>+Dietary_Sample[[#This Row],[Cost Estimator]]/Dietary_Sample[[#This Row],[Diet Hrsn]]</f>
        <v>18.115795487003712</v>
      </c>
      <c r="Q36" s="10">
        <f>COUNTIFS('Dietary Detail'!$R:$R,$A36,'Dietary Detail'!$U:$U,RIGHT(Q$1,4))</f>
        <v>6</v>
      </c>
      <c r="R36" s="10">
        <f>COUNTIFS('Dietary Detail'!$R:$R,$A36,'Dietary Detail'!$U:$U,RIGHT(R$1,4))</f>
        <v>3</v>
      </c>
      <c r="S36" s="10">
        <f>+Dietary_Sample[[#This Row],[Employee count Sample Data Aide]]+Dietary_Sample[[#This Row],[Employee count Sample Data Cook]]</f>
        <v>9</v>
      </c>
      <c r="T36" s="13">
        <v>14.5</v>
      </c>
      <c r="U36" s="13">
        <v>15</v>
      </c>
      <c r="V36" s="13">
        <v>15</v>
      </c>
      <c r="W36" s="13">
        <v>14.833333333333334</v>
      </c>
      <c r="X36" s="13">
        <v>16.5</v>
      </c>
      <c r="Y36" s="13">
        <v>20</v>
      </c>
      <c r="Z36" s="13">
        <v>19.25</v>
      </c>
      <c r="AA36" s="13">
        <v>18.583333333333332</v>
      </c>
      <c r="AB36" s="13">
        <f>IF(AND(Dietary_Sample[[#This Row],[Aide median]]=0,Dietary_Sample[[#This Row],[Cook median]]=0),0,IF(Dietary_Sample[[#This Row],[Aide median]]=0,1,Dietary_Sample[[#This Row],[Cook median]]/Dietary_Sample[[#This Row],[Aide median]]))</f>
        <v>1.2833333333333334</v>
      </c>
      <c r="AC36" s="13">
        <f>IF(AND(Dietary_Sample[[#This Row],[Aide average]]=0,Dietary_Sample[[#This Row],[Cook average]]=0),0,IF(Dietary_Sample[[#This Row],[Aide average]]=0,1,Dietary_Sample[[#This Row],[Cook average]]/Dietary_Sample[[#This Row],[Aide average]]))</f>
        <v>1.2528089887640448</v>
      </c>
      <c r="AD36" s="37">
        <f>COUNTIFS('Dietary Detail'!$R:$R,$A36,'Dietary Detail'!$T:$T,"&lt;"&amp;V36,'Dietary Detail'!$U:$U,RIGHT(AD$1,4))</f>
        <v>2</v>
      </c>
      <c r="AE36" s="37">
        <f>COUNTIFS('Dietary Detail'!$R:$R,$A36,'Dietary Detail'!$T:$T,"&lt;"&amp;W36,'Dietary Detail'!$U:$U,RIGHT(AE$1,4))</f>
        <v>2</v>
      </c>
      <c r="AF36" s="37">
        <f>COUNTIFS('Dietary Detail'!$R:$R,$A36,'Dietary Detail'!$T:$T,"&lt;"&amp;$BG$3,'Dietary Detail'!$U:$U,RIGHT(AF$1,4))</f>
        <v>6</v>
      </c>
      <c r="AG36" s="37">
        <f>COUNTIFS('Dietary Detail'!$R:$R,$A36,'Dietary Detail'!$T:$T,"&lt;"&amp;$BG$4,'Dietary Detail'!$U:$U,RIGHT(AG$1,4))</f>
        <v>6</v>
      </c>
      <c r="AH36" s="37">
        <f>COUNTIFS('Dietary Detail'!$R:$R,$A36,'Dietary Detail'!$T:$T,"&lt;"&amp;$BG$5,'Dietary Detail'!$U:$U,RIGHT(AH$1,4))</f>
        <v>6</v>
      </c>
      <c r="AI36" s="37">
        <f>COUNTIFS('Dietary Detail'!$R:$R,$A36,'Dietary Detail'!$T:$T,"&lt;"&amp;Z36,'Dietary Detail'!$U:$U,RIGHT(AI$1,4))</f>
        <v>1</v>
      </c>
      <c r="AJ36" s="37">
        <f>COUNTIFS('Dietary Detail'!$R:$R,$A36,'Dietary Detail'!$T:$T,"&lt;"&amp;AA36,'Dietary Detail'!$U:$U,RIGHT(AJ$1,4))</f>
        <v>1</v>
      </c>
      <c r="AK36" s="37">
        <f>COUNTIFS('Dietary Detail'!$R:$R,$A36,'Dietary Detail'!$T:$T,"&lt;"&amp;$BH$3,'Dietary Detail'!$U:$U,RIGHT(AK$1,4))</f>
        <v>3</v>
      </c>
      <c r="AL36" s="37">
        <f>COUNTIFS('Dietary Detail'!$R:$R,$A36,'Dietary Detail'!$T:$T,"&lt;"&amp;$BH$4,'Dietary Detail'!$U:$U,RIGHT(AL$1,4))</f>
        <v>2</v>
      </c>
      <c r="AM36" s="37">
        <f>COUNTIFS('Dietary Detail'!$R:$R,$A36,'Dietary Detail'!$T:$T,"&lt;"&amp;$BH$5,'Dietary Detail'!$U:$U,RIGHT(AM$1,4))</f>
        <v>2</v>
      </c>
      <c r="AN36" s="12">
        <f>+Dietary_Sample[[#This Row],[Aide median]]*Dietary_Sample[[#This Row],[Aide Hours]]</f>
        <v>175050</v>
      </c>
      <c r="AO36" s="12">
        <f>+Dietary_Sample[[#This Row],[Aide average]]*Dietary_Sample[[#This Row],[Aide Hours]]</f>
        <v>173105</v>
      </c>
      <c r="AP36" s="12">
        <f>+Dietary_Sample[[#This Row],[Cook median]]*Dietary_Sample[[#This Row],[Cook Hours]]</f>
        <v>112323.75</v>
      </c>
      <c r="AQ36" s="12">
        <f>+Dietary_Sample[[#This Row],[Cook average]]*Dietary_Sample[[#This Row],[Cook Hours]]</f>
        <v>108433.75</v>
      </c>
      <c r="AR36" s="12">
        <f>+Dietary_Sample[[#This Row],[Est average Aide wage cost]]+Dietary_Sample[[#This Row],[Est average Cook wage cost]]</f>
        <v>281538.75</v>
      </c>
      <c r="AS36" s="12">
        <f>+Dietary_Sample[[#This Row],[Est average Aide wage cost]]+Dietary_Sample[[#This Row],[Est average Cook wage cost]]</f>
        <v>281538.75</v>
      </c>
      <c r="AT36" s="14">
        <f>IF(Dietary_Sample[[#This Row],[Aide cost estimator]]=0,0,Dietary_Sample[[#This Row],[Est median Aide wage cost ]]/Dietary_Sample[[#This Row],[Aide cost estimator]])</f>
        <v>0.90620733041748014</v>
      </c>
      <c r="AU36" s="14">
        <f>IF(Dietary_Sample[[#This Row],[Aide cost estimator]]=0,0,Dietary_Sample[[#This Row],[Est average Aide wage cost]]/Dietary_Sample[[#This Row],[Aide cost estimator]])</f>
        <v>0.89613836007950809</v>
      </c>
      <c r="AV36" s="14">
        <f>IF(Dietary_Sample[[#This Row],[Cook cost estimator]]=0,0,Dietary_Sample[[#This Row],[Est median Cook wage cost]]/Dietary_Sample[[#This Row],[Cook cost estimator]])</f>
        <v>0.90620733041748003</v>
      </c>
      <c r="AW36" s="14">
        <f>IF(Dietary_Sample[[#This Row],[Cook cost estimator]]=0,0,Dietary_Sample[[#This Row],[Est average Cook wage cost]]/Dietary_Sample[[#This Row],[Cook cost estimator]])</f>
        <v>0.8748235267666582</v>
      </c>
      <c r="AX36" s="14">
        <f>IF(Dietary_Sample[[#This Row],[Aide median]]=0,0,Dietary_Sample[[#This Row],[Aide min]]/Dietary_Sample[[#This Row],[Aide median]])</f>
        <v>0.96666666666666667</v>
      </c>
      <c r="AY36" s="14">
        <f>IF(Dietary_Sample[[#This Row],[Aide median]]=0,0,Dietary_Sample[[#This Row],[Aide max]]/Dietary_Sample[[#This Row],[Aide median]])</f>
        <v>1</v>
      </c>
      <c r="AZ36" s="14">
        <f>IF(Dietary_Sample[[#This Row],[Cook median]]=0,0,Dietary_Sample[[#This Row],[Cook min]]/Dietary_Sample[[#This Row],[Cook median]])</f>
        <v>0.8571428571428571</v>
      </c>
      <c r="BA36" s="14">
        <f>IF(Dietary_Sample[[#This Row],[Cook median]]=0,0,Dietary_Sample[[#This Row],[Cook max]]/Dietary_Sample[[#This Row],[Cook median]])</f>
        <v>1.0389610389610389</v>
      </c>
      <c r="BB36" s="12">
        <f>VLOOKUP(A36,Summary!$1:$1048576,2,FALSE)</f>
        <v>3</v>
      </c>
    </row>
    <row r="37" spans="1:54" x14ac:dyDescent="0.55000000000000004">
      <c r="A37" s="10">
        <v>486</v>
      </c>
      <c r="B37" s="10" t="s">
        <v>54</v>
      </c>
      <c r="C37" s="10">
        <f>VLOOKUP($A37,'SAS Data'!$1:$1048576,MATCH(C$1,'SAS Data'!$3:$3,0),FALSE)</f>
        <v>17</v>
      </c>
      <c r="D37" s="10">
        <f>VLOOKUP($A37,'SAS Data'!$1:$1048576,MATCH(D$1,'SAS Data'!$3:$3,0),FALSE)</f>
        <v>29</v>
      </c>
      <c r="E37" s="10">
        <f t="shared" si="1"/>
        <v>46</v>
      </c>
      <c r="F37" s="11">
        <f>VLOOKUP($A37,'SAS Data'!$1:$1048576,MATCH(F$1,'SAS Data'!$3:$3,0),FALSE)</f>
        <v>19.249740157152953</v>
      </c>
      <c r="G37" s="12">
        <f>+Dietary_Sample[[#This Row],[Diet Cph]]*Dietary_Sample[[#This Row],[Diet Hrsn]]</f>
        <v>463014</v>
      </c>
      <c r="H3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396346.48814749782</v>
      </c>
      <c r="I37" s="17">
        <f>+Dietary_Sample[[#This Row],[Employee count Sample Data Aide]]/Dietary_Sample[[#This Row],[Total aide &amp; Cook]]*Dietary_Sample[[#This Row],[Diet Hrsn]]</f>
        <v>21223.235294117647</v>
      </c>
      <c r="J37" s="13">
        <f>IF(Dietary_Sample[[#This Row],[Aide Hours]]=0,0,Dietary_Sample[[#This Row],[Aide cost estimator]]/Dietary_Sample[[#This Row],[Aide Hours]])</f>
        <v>18.675121047984209</v>
      </c>
      <c r="K3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66667.511852502197</v>
      </c>
      <c r="L37" s="17">
        <f>+Dietary_Sample[[#This Row],[Employee count Sample Data Cook]]/Dietary_Sample[[#This Row],[Total aide &amp; Cook]]*Dietary_Sample[[#This Row],[Diet Hrsn]]</f>
        <v>2829.7647058823527</v>
      </c>
      <c r="M37" s="13">
        <f>IF(Dietary_Sample[[#This Row],[Cook Hours]]=0,0,Dietary_Sample[[#This Row],[Cook cost estimator]]/Dietary_Sample[[#This Row],[Cook Hours]])</f>
        <v>23.559383475918544</v>
      </c>
      <c r="N37" s="12">
        <f>VLOOKUP(A37,'Estimator data 120523'!$A:$F,5,FALSE)</f>
        <v>463014</v>
      </c>
      <c r="O37" s="12">
        <f>VLOOKUP($A37,'SAS Data'!$1:$1048576,MATCH(O$1,'SAS Data'!$3:$3,0),FALSE)</f>
        <v>24053</v>
      </c>
      <c r="P37" s="13">
        <f>+Dietary_Sample[[#This Row],[Cost Estimator]]/Dietary_Sample[[#This Row],[Diet Hrsn]]</f>
        <v>19.249740157152953</v>
      </c>
      <c r="Q37" s="10">
        <f>COUNTIFS('Dietary Detail'!$R:$R,$A37,'Dietary Detail'!$U:$U,RIGHT(Q$1,4))</f>
        <v>15</v>
      </c>
      <c r="R37" s="10">
        <f>COUNTIFS('Dietary Detail'!$R:$R,$A37,'Dietary Detail'!$U:$U,RIGHT(R$1,4))</f>
        <v>2</v>
      </c>
      <c r="S37" s="10">
        <f>+Dietary_Sample[[#This Row],[Employee count Sample Data Aide]]+Dietary_Sample[[#This Row],[Employee count Sample Data Cook]]</f>
        <v>17</v>
      </c>
      <c r="T37" s="13">
        <v>16.239999999999998</v>
      </c>
      <c r="U37" s="13">
        <v>17.079999999999998</v>
      </c>
      <c r="V37" s="13">
        <v>16.25</v>
      </c>
      <c r="W37" s="13">
        <v>16.399333333333335</v>
      </c>
      <c r="X37" s="13">
        <v>20</v>
      </c>
      <c r="Y37" s="13">
        <v>21</v>
      </c>
      <c r="Z37" s="13">
        <v>20.5</v>
      </c>
      <c r="AA37" s="13">
        <v>20.5</v>
      </c>
      <c r="AB37" s="13">
        <f>IF(AND(Dietary_Sample[[#This Row],[Aide median]]=0,Dietary_Sample[[#This Row],[Cook median]]=0),0,IF(Dietary_Sample[[#This Row],[Aide median]]=0,1,Dietary_Sample[[#This Row],[Cook median]]/Dietary_Sample[[#This Row],[Aide median]]))</f>
        <v>1.2615384615384615</v>
      </c>
      <c r="AC37" s="13">
        <f>IF(AND(Dietary_Sample[[#This Row],[Aide average]]=0,Dietary_Sample[[#This Row],[Cook average]]=0),0,IF(Dietary_Sample[[#This Row],[Aide average]]=0,1,Dietary_Sample[[#This Row],[Cook average]]/Dietary_Sample[[#This Row],[Aide average]]))</f>
        <v>1.2500508150737835</v>
      </c>
      <c r="AD37" s="37">
        <f>COUNTIFS('Dietary Detail'!$R:$R,$A37,'Dietary Detail'!$T:$T,"&lt;"&amp;V37,'Dietary Detail'!$U:$U,RIGHT(AD$1,4))</f>
        <v>2</v>
      </c>
      <c r="AE37" s="37">
        <f>COUNTIFS('Dietary Detail'!$R:$R,$A37,'Dietary Detail'!$T:$T,"&lt;"&amp;W37,'Dietary Detail'!$U:$U,RIGHT(AE$1,4))</f>
        <v>9</v>
      </c>
      <c r="AF37" s="37">
        <f>COUNTIFS('Dietary Detail'!$R:$R,$A37,'Dietary Detail'!$T:$T,"&lt;"&amp;$BG$3,'Dietary Detail'!$U:$U,RIGHT(AF$1,4))</f>
        <v>15</v>
      </c>
      <c r="AG37" s="37">
        <f>COUNTIFS('Dietary Detail'!$R:$R,$A37,'Dietary Detail'!$T:$T,"&lt;"&amp;$BG$4,'Dietary Detail'!$U:$U,RIGHT(AG$1,4))</f>
        <v>0</v>
      </c>
      <c r="AH37" s="37">
        <f>COUNTIFS('Dietary Detail'!$R:$R,$A37,'Dietary Detail'!$T:$T,"&lt;"&amp;$BG$5,'Dietary Detail'!$U:$U,RIGHT(AH$1,4))</f>
        <v>13</v>
      </c>
      <c r="AI37" s="37">
        <f>COUNTIFS('Dietary Detail'!$R:$R,$A37,'Dietary Detail'!$T:$T,"&lt;"&amp;Z37,'Dietary Detail'!$U:$U,RIGHT(AI$1,4))</f>
        <v>1</v>
      </c>
      <c r="AJ37" s="37">
        <f>COUNTIFS('Dietary Detail'!$R:$R,$A37,'Dietary Detail'!$T:$T,"&lt;"&amp;AA37,'Dietary Detail'!$U:$U,RIGHT(AJ$1,4))</f>
        <v>1</v>
      </c>
      <c r="AK37" s="37">
        <f>COUNTIFS('Dietary Detail'!$R:$R,$A37,'Dietary Detail'!$T:$T,"&lt;"&amp;$BH$3,'Dietary Detail'!$U:$U,RIGHT(AK$1,4))</f>
        <v>2</v>
      </c>
      <c r="AL37" s="37">
        <f>COUNTIFS('Dietary Detail'!$R:$R,$A37,'Dietary Detail'!$T:$T,"&lt;"&amp;$BH$4,'Dietary Detail'!$U:$U,RIGHT(AL$1,4))</f>
        <v>0</v>
      </c>
      <c r="AM37" s="37">
        <f>COUNTIFS('Dietary Detail'!$R:$R,$A37,'Dietary Detail'!$T:$T,"&lt;"&amp;$BH$5,'Dietary Detail'!$U:$U,RIGHT(AM$1,4))</f>
        <v>0</v>
      </c>
      <c r="AN37" s="12">
        <f>+Dietary_Sample[[#This Row],[Aide median]]*Dietary_Sample[[#This Row],[Aide Hours]]</f>
        <v>344877.57352941175</v>
      </c>
      <c r="AO37" s="12">
        <f>+Dietary_Sample[[#This Row],[Aide average]]*Dietary_Sample[[#This Row],[Aide Hours]]</f>
        <v>348046.91000000003</v>
      </c>
      <c r="AP37" s="12">
        <f>+Dietary_Sample[[#This Row],[Cook median]]*Dietary_Sample[[#This Row],[Cook Hours]]</f>
        <v>58010.176470588231</v>
      </c>
      <c r="AQ37" s="12">
        <f>+Dietary_Sample[[#This Row],[Cook average]]*Dietary_Sample[[#This Row],[Cook Hours]]</f>
        <v>58010.176470588231</v>
      </c>
      <c r="AR37" s="12">
        <f>+Dietary_Sample[[#This Row],[Est average Aide wage cost]]+Dietary_Sample[[#This Row],[Est average Cook wage cost]]</f>
        <v>406057.08647058829</v>
      </c>
      <c r="AS37" s="12">
        <f>+Dietary_Sample[[#This Row],[Est average Aide wage cost]]+Dietary_Sample[[#This Row],[Est average Cook wage cost]]</f>
        <v>406057.08647058829</v>
      </c>
      <c r="AT37" s="14">
        <f>IF(Dietary_Sample[[#This Row],[Aide cost estimator]]=0,0,Dietary_Sample[[#This Row],[Est median Aide wage cost ]]/Dietary_Sample[[#This Row],[Aide cost estimator]])</f>
        <v>0.8701416155882975</v>
      </c>
      <c r="AU37" s="14">
        <f>IF(Dietary_Sample[[#This Row],[Aide cost estimator]]=0,0,Dietary_Sample[[#This Row],[Est average Aide wage cost]]/Dietary_Sample[[#This Row],[Aide cost estimator]])</f>
        <v>0.87813799392231928</v>
      </c>
      <c r="AV37" s="14">
        <f>IF(Dietary_Sample[[#This Row],[Cook cost estimator]]=0,0,Dietary_Sample[[#This Row],[Est median Cook wage cost]]/Dietary_Sample[[#This Row],[Cook cost estimator]])</f>
        <v>0.8701416155882975</v>
      </c>
      <c r="AW37" s="14">
        <f>IF(Dietary_Sample[[#This Row],[Cook cost estimator]]=0,0,Dietary_Sample[[#This Row],[Est average Cook wage cost]]/Dietary_Sample[[#This Row],[Cook cost estimator]])</f>
        <v>0.8701416155882975</v>
      </c>
      <c r="AX37" s="14">
        <f>IF(Dietary_Sample[[#This Row],[Aide median]]=0,0,Dietary_Sample[[#This Row],[Aide min]]/Dietary_Sample[[#This Row],[Aide median]])</f>
        <v>0.99938461538461532</v>
      </c>
      <c r="AY37" s="14">
        <f>IF(Dietary_Sample[[#This Row],[Aide median]]=0,0,Dietary_Sample[[#This Row],[Aide max]]/Dietary_Sample[[#This Row],[Aide median]])</f>
        <v>1.051076923076923</v>
      </c>
      <c r="AZ37" s="14">
        <f>IF(Dietary_Sample[[#This Row],[Cook median]]=0,0,Dietary_Sample[[#This Row],[Cook min]]/Dietary_Sample[[#This Row],[Cook median]])</f>
        <v>0.97560975609756095</v>
      </c>
      <c r="BA37" s="14">
        <f>IF(Dietary_Sample[[#This Row],[Cook median]]=0,0,Dietary_Sample[[#This Row],[Cook max]]/Dietary_Sample[[#This Row],[Cook median]])</f>
        <v>1.024390243902439</v>
      </c>
      <c r="BB37" s="12">
        <f>VLOOKUP(A37,Summary!$1:$1048576,2,FALSE)</f>
        <v>3</v>
      </c>
    </row>
    <row r="38" spans="1:54" x14ac:dyDescent="0.55000000000000004">
      <c r="A38" s="10">
        <v>500</v>
      </c>
      <c r="B38" s="10" t="s">
        <v>54</v>
      </c>
      <c r="C38" s="10">
        <f>VLOOKUP($A38,'SAS Data'!$1:$1048576,MATCH(C$1,'SAS Data'!$3:$3,0),FALSE)</f>
        <v>6</v>
      </c>
      <c r="D38" s="10">
        <f>VLOOKUP($A38,'SAS Data'!$1:$1048576,MATCH(D$1,'SAS Data'!$3:$3,0),FALSE)</f>
        <v>13</v>
      </c>
      <c r="E38" s="10">
        <f t="shared" si="1"/>
        <v>19</v>
      </c>
      <c r="F38" s="11">
        <f>VLOOKUP($A38,'SAS Data'!$1:$1048576,MATCH(F$1,'SAS Data'!$3:$3,0),FALSE)</f>
        <v>17.719385867554568</v>
      </c>
      <c r="G38" s="12">
        <f>+Dietary_Sample[[#This Row],[Diet Cph]]*Dietary_Sample[[#This Row],[Diet Hrsn]]</f>
        <v>383164</v>
      </c>
      <c r="H3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323758.72868217051</v>
      </c>
      <c r="I38" s="17">
        <f>+Dietary_Sample[[#This Row],[Employee count Sample Data Aide]]/Dietary_Sample[[#This Row],[Total aide &amp; Cook]]*Dietary_Sample[[#This Row],[Diet Hrsn]]</f>
        <v>19221.333333333332</v>
      </c>
      <c r="J38" s="13">
        <f>IF(Dietary_Sample[[#This Row],[Aide Hours]]=0,0,Dietary_Sample[[#This Row],[Aide cost estimator]]/Dietary_Sample[[#This Row],[Aide Hours]])</f>
        <v>16.843718542704487</v>
      </c>
      <c r="K3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59405.271317829458</v>
      </c>
      <c r="L38" s="17">
        <f>+Dietary_Sample[[#This Row],[Employee count Sample Data Cook]]/Dietary_Sample[[#This Row],[Total aide &amp; Cook]]*Dietary_Sample[[#This Row],[Diet Hrsn]]</f>
        <v>2402.6666666666665</v>
      </c>
      <c r="M38" s="13">
        <f>IF(Dietary_Sample[[#This Row],[Cook Hours]]=0,0,Dietary_Sample[[#This Row],[Cook cost estimator]]/Dietary_Sample[[#This Row],[Cook Hours]])</f>
        <v>24.724724466355216</v>
      </c>
      <c r="N38" s="12">
        <f>VLOOKUP(A38,'Estimator data 120523'!$A:$F,5,FALSE)</f>
        <v>383164</v>
      </c>
      <c r="O38" s="12">
        <f>VLOOKUP($A38,'SAS Data'!$1:$1048576,MATCH(O$1,'SAS Data'!$3:$3,0),FALSE)</f>
        <v>21624</v>
      </c>
      <c r="P38" s="13">
        <f>+Dietary_Sample[[#This Row],[Cost Estimator]]/Dietary_Sample[[#This Row],[Diet Hrsn]]</f>
        <v>17.719385867554568</v>
      </c>
      <c r="Q38" s="10">
        <f>COUNTIFS('Dietary Detail'!$R:$R,$A38,'Dietary Detail'!$U:$U,RIGHT(Q$1,4))</f>
        <v>24</v>
      </c>
      <c r="R38" s="10">
        <f>COUNTIFS('Dietary Detail'!$R:$R,$A38,'Dietary Detail'!$U:$U,RIGHT(R$1,4))</f>
        <v>3</v>
      </c>
      <c r="S38" s="10">
        <f>+Dietary_Sample[[#This Row],[Employee count Sample Data Aide]]+Dietary_Sample[[#This Row],[Employee count Sample Data Cook]]</f>
        <v>27</v>
      </c>
      <c r="T38" s="13">
        <v>13.5</v>
      </c>
      <c r="U38" s="13">
        <v>19.170000000000002</v>
      </c>
      <c r="V38" s="13">
        <v>13.625</v>
      </c>
      <c r="W38" s="13">
        <v>14.602083333333333</v>
      </c>
      <c r="X38" s="13">
        <v>17</v>
      </c>
      <c r="Y38" s="13">
        <v>21</v>
      </c>
      <c r="Z38" s="13">
        <v>20</v>
      </c>
      <c r="AA38" s="13">
        <v>19.333333333333332</v>
      </c>
      <c r="AB38" s="13">
        <f>IF(AND(Dietary_Sample[[#This Row],[Aide median]]=0,Dietary_Sample[[#This Row],[Cook median]]=0),0,IF(Dietary_Sample[[#This Row],[Aide median]]=0,1,Dietary_Sample[[#This Row],[Cook median]]/Dietary_Sample[[#This Row],[Aide median]]))</f>
        <v>1.4678899082568808</v>
      </c>
      <c r="AC38" s="13">
        <f>IF(AND(Dietary_Sample[[#This Row],[Aide average]]=0,Dietary_Sample[[#This Row],[Cook average]]=0),0,IF(Dietary_Sample[[#This Row],[Aide average]]=0,1,Dietary_Sample[[#This Row],[Cook average]]/Dietary_Sample[[#This Row],[Aide average]]))</f>
        <v>1.3240119845912397</v>
      </c>
      <c r="AD38" s="37">
        <f>COUNTIFS('Dietary Detail'!$R:$R,$A38,'Dietary Detail'!$T:$T,"&lt;"&amp;V38,'Dietary Detail'!$U:$U,RIGHT(AD$1,4))</f>
        <v>12</v>
      </c>
      <c r="AE38" s="37">
        <f>COUNTIFS('Dietary Detail'!$R:$R,$A38,'Dietary Detail'!$T:$T,"&lt;"&amp;W38,'Dietary Detail'!$U:$U,RIGHT(AE$1,4))</f>
        <v>15</v>
      </c>
      <c r="AF38" s="37">
        <f>COUNTIFS('Dietary Detail'!$R:$R,$A38,'Dietary Detail'!$T:$T,"&lt;"&amp;$BG$3,'Dietary Detail'!$U:$U,RIGHT(AF$1,4))</f>
        <v>24</v>
      </c>
      <c r="AG38" s="37">
        <f>COUNTIFS('Dietary Detail'!$R:$R,$A38,'Dietary Detail'!$T:$T,"&lt;"&amp;$BG$4,'Dietary Detail'!$U:$U,RIGHT(AG$1,4))</f>
        <v>20</v>
      </c>
      <c r="AH38" s="37">
        <f>COUNTIFS('Dietary Detail'!$R:$R,$A38,'Dietary Detail'!$T:$T,"&lt;"&amp;$BG$5,'Dietary Detail'!$U:$U,RIGHT(AH$1,4))</f>
        <v>21</v>
      </c>
      <c r="AI38" s="37">
        <f>COUNTIFS('Dietary Detail'!$R:$R,$A38,'Dietary Detail'!$T:$T,"&lt;"&amp;Z38,'Dietary Detail'!$U:$U,RIGHT(AI$1,4))</f>
        <v>1</v>
      </c>
      <c r="AJ38" s="37">
        <f>COUNTIFS('Dietary Detail'!$R:$R,$A38,'Dietary Detail'!$T:$T,"&lt;"&amp;AA38,'Dietary Detail'!$U:$U,RIGHT(AJ$1,4))</f>
        <v>1</v>
      </c>
      <c r="AK38" s="37">
        <f>COUNTIFS('Dietary Detail'!$R:$R,$A38,'Dietary Detail'!$T:$T,"&lt;"&amp;$BH$3,'Dietary Detail'!$U:$U,RIGHT(AK$1,4))</f>
        <v>3</v>
      </c>
      <c r="AL38" s="37">
        <f>COUNTIFS('Dietary Detail'!$R:$R,$A38,'Dietary Detail'!$T:$T,"&lt;"&amp;$BH$4,'Dietary Detail'!$U:$U,RIGHT(AL$1,4))</f>
        <v>1</v>
      </c>
      <c r="AM38" s="37">
        <f>COUNTIFS('Dietary Detail'!$R:$R,$A38,'Dietary Detail'!$T:$T,"&lt;"&amp;$BH$5,'Dietary Detail'!$U:$U,RIGHT(AM$1,4))</f>
        <v>1</v>
      </c>
      <c r="AN38" s="12">
        <f>+Dietary_Sample[[#This Row],[Aide median]]*Dietary_Sample[[#This Row],[Aide Hours]]</f>
        <v>261890.66666666666</v>
      </c>
      <c r="AO38" s="12">
        <f>+Dietary_Sample[[#This Row],[Aide average]]*Dietary_Sample[[#This Row],[Aide Hours]]</f>
        <v>280671.51111111109</v>
      </c>
      <c r="AP38" s="12">
        <f>+Dietary_Sample[[#This Row],[Cook median]]*Dietary_Sample[[#This Row],[Cook Hours]]</f>
        <v>48053.333333333328</v>
      </c>
      <c r="AQ38" s="12">
        <f>+Dietary_Sample[[#This Row],[Cook average]]*Dietary_Sample[[#This Row],[Cook Hours]]</f>
        <v>46451.555555555547</v>
      </c>
      <c r="AR38" s="12">
        <f>+Dietary_Sample[[#This Row],[Est average Aide wage cost]]+Dietary_Sample[[#This Row],[Est average Cook wage cost]]</f>
        <v>327123.06666666665</v>
      </c>
      <c r="AS38" s="12">
        <f>+Dietary_Sample[[#This Row],[Est average Aide wage cost]]+Dietary_Sample[[#This Row],[Est average Cook wage cost]]</f>
        <v>327123.06666666665</v>
      </c>
      <c r="AT38" s="14">
        <f>IF(Dietary_Sample[[#This Row],[Aide cost estimator]]=0,0,Dietary_Sample[[#This Row],[Est median Aide wage cost ]]/Dietary_Sample[[#This Row],[Aide cost estimator]])</f>
        <v>0.8089068910440439</v>
      </c>
      <c r="AU38" s="14">
        <f>IF(Dietary_Sample[[#This Row],[Aide cost estimator]]=0,0,Dietary_Sample[[#This Row],[Est average Aide wage cost]]/Dietary_Sample[[#This Row],[Aide cost estimator]])</f>
        <v>0.86691565738955711</v>
      </c>
      <c r="AV38" s="14">
        <f>IF(Dietary_Sample[[#This Row],[Cook cost estimator]]=0,0,Dietary_Sample[[#This Row],[Est median Cook wage cost]]/Dietary_Sample[[#This Row],[Cook cost estimator]])</f>
        <v>0.80890689104404367</v>
      </c>
      <c r="AW38" s="14">
        <f>IF(Dietary_Sample[[#This Row],[Cook cost estimator]]=0,0,Dietary_Sample[[#This Row],[Est average Cook wage cost]]/Dietary_Sample[[#This Row],[Cook cost estimator]])</f>
        <v>0.78194332800924216</v>
      </c>
      <c r="AX38" s="14">
        <f>IF(Dietary_Sample[[#This Row],[Aide median]]=0,0,Dietary_Sample[[#This Row],[Aide min]]/Dietary_Sample[[#This Row],[Aide median]])</f>
        <v>0.99082568807339455</v>
      </c>
      <c r="AY38" s="14">
        <f>IF(Dietary_Sample[[#This Row],[Aide median]]=0,0,Dietary_Sample[[#This Row],[Aide max]]/Dietary_Sample[[#This Row],[Aide median]])</f>
        <v>1.4069724770642202</v>
      </c>
      <c r="AZ38" s="14">
        <f>IF(Dietary_Sample[[#This Row],[Cook median]]=0,0,Dietary_Sample[[#This Row],[Cook min]]/Dietary_Sample[[#This Row],[Cook median]])</f>
        <v>0.85</v>
      </c>
      <c r="BA38" s="14">
        <f>IF(Dietary_Sample[[#This Row],[Cook median]]=0,0,Dietary_Sample[[#This Row],[Cook max]]/Dietary_Sample[[#This Row],[Cook median]])</f>
        <v>1.05</v>
      </c>
      <c r="BB38" s="12">
        <f>VLOOKUP(A38,Summary!$1:$1048576,2,FALSE)</f>
        <v>2</v>
      </c>
    </row>
    <row r="39" spans="1:54" x14ac:dyDescent="0.55000000000000004">
      <c r="A39" s="10">
        <v>506</v>
      </c>
      <c r="B39" s="10" t="s">
        <v>54</v>
      </c>
      <c r="C39" s="10">
        <f>VLOOKUP($A39,'SAS Data'!$1:$1048576,MATCH(C$1,'SAS Data'!$3:$3,0),FALSE)</f>
        <v>8</v>
      </c>
      <c r="D39" s="10">
        <f>VLOOKUP($A39,'SAS Data'!$1:$1048576,MATCH(D$1,'SAS Data'!$3:$3,0),FALSE)</f>
        <v>4</v>
      </c>
      <c r="E39" s="10">
        <f t="shared" si="1"/>
        <v>12</v>
      </c>
      <c r="F39" s="11">
        <f>VLOOKUP($A39,'SAS Data'!$1:$1048576,MATCH(F$1,'SAS Data'!$3:$3,0),FALSE)</f>
        <v>21.0440785399439</v>
      </c>
      <c r="G39" s="12">
        <f>+Dietary_Sample[[#This Row],[Diet Cph]]*Dietary_Sample[[#This Row],[Diet Hrsn]]</f>
        <v>577681</v>
      </c>
      <c r="H3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304156.94079377537</v>
      </c>
      <c r="I39" s="17">
        <f>+Dietary_Sample[[#This Row],[Employee count Sample Data Aide]]/Dietary_Sample[[#This Row],[Total aide &amp; Cook]]*Dietary_Sample[[#This Row],[Diet Hrsn]]</f>
        <v>16147.64705882353</v>
      </c>
      <c r="J39" s="13">
        <f>IF(Dietary_Sample[[#This Row],[Aide Hours]]=0,0,Dietary_Sample[[#This Row],[Aide cost estimator]]/Dietary_Sample[[#This Row],[Aide Hours]])</f>
        <v>18.835991379163531</v>
      </c>
      <c r="K3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273524.05920622469</v>
      </c>
      <c r="L39" s="17">
        <f>+Dietary_Sample[[#This Row],[Employee count Sample Data Cook]]/Dietary_Sample[[#This Row],[Total aide &amp; Cook]]*Dietary_Sample[[#This Row],[Diet Hrsn]]</f>
        <v>11303.35294117647</v>
      </c>
      <c r="M39" s="13">
        <f>IF(Dietary_Sample[[#This Row],[Cook Hours]]=0,0,Dietary_Sample[[#This Row],[Cook cost estimator]]/Dietary_Sample[[#This Row],[Cook Hours]])</f>
        <v>24.198488769630146</v>
      </c>
      <c r="N39" s="12">
        <f>VLOOKUP(A39,'Estimator data 120523'!$A:$F,5,FALSE)</f>
        <v>577681</v>
      </c>
      <c r="O39" s="12">
        <f>VLOOKUP($A39,'SAS Data'!$1:$1048576,MATCH(O$1,'SAS Data'!$3:$3,0),FALSE)</f>
        <v>27451</v>
      </c>
      <c r="P39" s="13">
        <f>+Dietary_Sample[[#This Row],[Cost Estimator]]/Dietary_Sample[[#This Row],[Diet Hrsn]]</f>
        <v>21.0440785399439</v>
      </c>
      <c r="Q39" s="10">
        <f>COUNTIFS('Dietary Detail'!$R:$R,$A39,'Dietary Detail'!$U:$U,RIGHT(Q$1,4))</f>
        <v>10</v>
      </c>
      <c r="R39" s="10">
        <f>COUNTIFS('Dietary Detail'!$R:$R,$A39,'Dietary Detail'!$U:$U,RIGHT(R$1,4))</f>
        <v>7</v>
      </c>
      <c r="S39" s="10">
        <f>+Dietary_Sample[[#This Row],[Employee count Sample Data Aide]]+Dietary_Sample[[#This Row],[Employee count Sample Data Cook]]</f>
        <v>17</v>
      </c>
      <c r="T39" s="13">
        <v>15.71</v>
      </c>
      <c r="U39" s="13">
        <v>19.64</v>
      </c>
      <c r="V39" s="13">
        <v>16.105</v>
      </c>
      <c r="W39" s="13">
        <v>17.073</v>
      </c>
      <c r="X39" s="13">
        <v>18.59</v>
      </c>
      <c r="Y39" s="13">
        <v>24.88</v>
      </c>
      <c r="Z39" s="13">
        <v>20.69</v>
      </c>
      <c r="AA39" s="13">
        <v>21.661428571428569</v>
      </c>
      <c r="AB39" s="13">
        <f>IF(AND(Dietary_Sample[[#This Row],[Aide median]]=0,Dietary_Sample[[#This Row],[Cook median]]=0),0,IF(Dietary_Sample[[#This Row],[Aide median]]=0,1,Dietary_Sample[[#This Row],[Cook median]]/Dietary_Sample[[#This Row],[Aide median]]))</f>
        <v>1.2846941943495809</v>
      </c>
      <c r="AC39" s="13">
        <f>IF(AND(Dietary_Sample[[#This Row],[Aide average]]=0,Dietary_Sample[[#This Row],[Cook average]]=0),0,IF(Dietary_Sample[[#This Row],[Aide average]]=0,1,Dietary_Sample[[#This Row],[Cook average]]/Dietary_Sample[[#This Row],[Aide average]]))</f>
        <v>1.2687535038615692</v>
      </c>
      <c r="AD39" s="37">
        <f>COUNTIFS('Dietary Detail'!$R:$R,$A39,'Dietary Detail'!$T:$T,"&lt;"&amp;V39,'Dietary Detail'!$U:$U,RIGHT(AD$1,4))</f>
        <v>5</v>
      </c>
      <c r="AE39" s="37">
        <f>COUNTIFS('Dietary Detail'!$R:$R,$A39,'Dietary Detail'!$T:$T,"&lt;"&amp;W39,'Dietary Detail'!$U:$U,RIGHT(AE$1,4))</f>
        <v>6</v>
      </c>
      <c r="AF39" s="37">
        <f>COUNTIFS('Dietary Detail'!$R:$R,$A39,'Dietary Detail'!$T:$T,"&lt;"&amp;$BG$3,'Dietary Detail'!$U:$U,RIGHT(AF$1,4))</f>
        <v>10</v>
      </c>
      <c r="AG39" s="37">
        <f>COUNTIFS('Dietary Detail'!$R:$R,$A39,'Dietary Detail'!$T:$T,"&lt;"&amp;$BG$4,'Dietary Detail'!$U:$U,RIGHT(AG$1,4))</f>
        <v>5</v>
      </c>
      <c r="AH39" s="37">
        <f>COUNTIFS('Dietary Detail'!$R:$R,$A39,'Dietary Detail'!$T:$T,"&lt;"&amp;$BG$5,'Dietary Detail'!$U:$U,RIGHT(AH$1,4))</f>
        <v>6</v>
      </c>
      <c r="AI39" s="37">
        <f>COUNTIFS('Dietary Detail'!$R:$R,$A39,'Dietary Detail'!$T:$T,"&lt;"&amp;Z39,'Dietary Detail'!$U:$U,RIGHT(AI$1,4))</f>
        <v>2</v>
      </c>
      <c r="AJ39" s="37">
        <f>COUNTIFS('Dietary Detail'!$R:$R,$A39,'Dietary Detail'!$T:$T,"&lt;"&amp;AA39,'Dietary Detail'!$U:$U,RIGHT(AJ$1,4))</f>
        <v>4</v>
      </c>
      <c r="AK39" s="37">
        <f>COUNTIFS('Dietary Detail'!$R:$R,$A39,'Dietary Detail'!$T:$T,"&lt;"&amp;$BH$3,'Dietary Detail'!$U:$U,RIGHT(AK$1,4))</f>
        <v>7</v>
      </c>
      <c r="AL39" s="37">
        <f>COUNTIFS('Dietary Detail'!$R:$R,$A39,'Dietary Detail'!$T:$T,"&lt;"&amp;$BH$4,'Dietary Detail'!$U:$U,RIGHT(AL$1,4))</f>
        <v>1</v>
      </c>
      <c r="AM39" s="37">
        <f>COUNTIFS('Dietary Detail'!$R:$R,$A39,'Dietary Detail'!$T:$T,"&lt;"&amp;$BH$5,'Dietary Detail'!$U:$U,RIGHT(AM$1,4))</f>
        <v>1</v>
      </c>
      <c r="AN39" s="12">
        <f>+Dietary_Sample[[#This Row],[Aide median]]*Dietary_Sample[[#This Row],[Aide Hours]]</f>
        <v>260057.85588235295</v>
      </c>
      <c r="AO39" s="12">
        <f>+Dietary_Sample[[#This Row],[Aide average]]*Dietary_Sample[[#This Row],[Aide Hours]]</f>
        <v>275688.77823529416</v>
      </c>
      <c r="AP39" s="12">
        <f>+Dietary_Sample[[#This Row],[Cook median]]*Dietary_Sample[[#This Row],[Cook Hours]]</f>
        <v>233866.37235294119</v>
      </c>
      <c r="AQ39" s="12">
        <f>+Dietary_Sample[[#This Row],[Cook average]]*Dietary_Sample[[#This Row],[Cook Hours]]</f>
        <v>244846.77235294113</v>
      </c>
      <c r="AR39" s="12">
        <f>+Dietary_Sample[[#This Row],[Est average Aide wage cost]]+Dietary_Sample[[#This Row],[Est average Cook wage cost]]</f>
        <v>520535.55058823526</v>
      </c>
      <c r="AS39" s="12">
        <f>+Dietary_Sample[[#This Row],[Est average Aide wage cost]]+Dietary_Sample[[#This Row],[Est average Cook wage cost]]</f>
        <v>520535.55058823526</v>
      </c>
      <c r="AT39" s="14">
        <f>IF(Dietary_Sample[[#This Row],[Aide cost estimator]]=0,0,Dietary_Sample[[#This Row],[Est median Aide wage cost ]]/Dietary_Sample[[#This Row],[Aide cost estimator]])</f>
        <v>0.85501207108299226</v>
      </c>
      <c r="AU39" s="14">
        <f>IF(Dietary_Sample[[#This Row],[Aide cost estimator]]=0,0,Dietary_Sample[[#This Row],[Est average Aide wage cost]]/Dietary_Sample[[#This Row],[Aide cost estimator]])</f>
        <v>0.9064030480968599</v>
      </c>
      <c r="AV39" s="14">
        <f>IF(Dietary_Sample[[#This Row],[Cook cost estimator]]=0,0,Dietary_Sample[[#This Row],[Est median Cook wage cost]]/Dietary_Sample[[#This Row],[Cook cost estimator]])</f>
        <v>0.85501207108299238</v>
      </c>
      <c r="AW39" s="14">
        <f>IF(Dietary_Sample[[#This Row],[Cook cost estimator]]=0,0,Dietary_Sample[[#This Row],[Est average Cook wage cost]]/Dietary_Sample[[#This Row],[Cook cost estimator]])</f>
        <v>0.89515625449364145</v>
      </c>
      <c r="AX39" s="14">
        <f>IF(Dietary_Sample[[#This Row],[Aide median]]=0,0,Dietary_Sample[[#This Row],[Aide min]]/Dietary_Sample[[#This Row],[Aide median]])</f>
        <v>0.97547345544861852</v>
      </c>
      <c r="AY39" s="14">
        <f>IF(Dietary_Sample[[#This Row],[Aide median]]=0,0,Dietary_Sample[[#This Row],[Aide max]]/Dietary_Sample[[#This Row],[Aide median]])</f>
        <v>1.2194970506054021</v>
      </c>
      <c r="AZ39" s="14">
        <f>IF(Dietary_Sample[[#This Row],[Cook median]]=0,0,Dietary_Sample[[#This Row],[Cook min]]/Dietary_Sample[[#This Row],[Cook median]])</f>
        <v>0.8985016916384726</v>
      </c>
      <c r="BA39" s="14">
        <f>IF(Dietary_Sample[[#This Row],[Cook median]]=0,0,Dietary_Sample[[#This Row],[Cook max]]/Dietary_Sample[[#This Row],[Cook median]])</f>
        <v>1.2025132914451424</v>
      </c>
      <c r="BB39" s="12">
        <f>VLOOKUP(A39,Summary!$1:$1048576,2,FALSE)</f>
        <v>3</v>
      </c>
    </row>
    <row r="40" spans="1:54" x14ac:dyDescent="0.55000000000000004">
      <c r="A40" s="10">
        <v>510</v>
      </c>
      <c r="B40" s="10" t="s">
        <v>54</v>
      </c>
      <c r="C40" s="10">
        <f>VLOOKUP($A40,'SAS Data'!$1:$1048576,MATCH(C$1,'SAS Data'!$3:$3,0),FALSE)</f>
        <v>0</v>
      </c>
      <c r="D40" s="10">
        <f>VLOOKUP($A40,'SAS Data'!$1:$1048576,MATCH(D$1,'SAS Data'!$3:$3,0),FALSE)</f>
        <v>0</v>
      </c>
      <c r="E40" s="10">
        <f t="shared" si="1"/>
        <v>0</v>
      </c>
      <c r="F40" s="11">
        <f>VLOOKUP($A40,'SAS Data'!$1:$1048576,MATCH(F$1,'SAS Data'!$3:$3,0),FALSE)</f>
        <v>28.522771067349719</v>
      </c>
      <c r="G40" s="12">
        <f>+Dietary_Sample[[#This Row],[Diet Cph]]*Dietary_Sample[[#This Row],[Diet Hrsn]]</f>
        <v>606879</v>
      </c>
      <c r="H4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0</v>
      </c>
      <c r="I40" s="17">
        <f>+Dietary_Sample[[#This Row],[Employee count Sample Data Aide]]/Dietary_Sample[[#This Row],[Total aide &amp; Cook]]*Dietary_Sample[[#This Row],[Diet Hrsn]]</f>
        <v>0</v>
      </c>
      <c r="J40" s="13">
        <f>IF(Dietary_Sample[[#This Row],[Aide Hours]]=0,0,Dietary_Sample[[#This Row],[Aide cost estimator]]/Dietary_Sample[[#This Row],[Aide Hours]])</f>
        <v>0</v>
      </c>
      <c r="K4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606879</v>
      </c>
      <c r="L40" s="17">
        <f>+Dietary_Sample[[#This Row],[Employee count Sample Data Cook]]/Dietary_Sample[[#This Row],[Total aide &amp; Cook]]*Dietary_Sample[[#This Row],[Diet Hrsn]]</f>
        <v>21277</v>
      </c>
      <c r="M40" s="13">
        <f>IF(Dietary_Sample[[#This Row],[Cook Hours]]=0,0,Dietary_Sample[[#This Row],[Cook cost estimator]]/Dietary_Sample[[#This Row],[Cook Hours]])</f>
        <v>28.522771067349719</v>
      </c>
      <c r="N40" s="12">
        <f>VLOOKUP(A40,'Estimator data 120523'!$A:$F,5,FALSE)</f>
        <v>606879</v>
      </c>
      <c r="O40" s="12">
        <f>VLOOKUP($A40,'SAS Data'!$1:$1048576,MATCH(O$1,'SAS Data'!$3:$3,0),FALSE)</f>
        <v>21277</v>
      </c>
      <c r="P40" s="13">
        <f>+Dietary_Sample[[#This Row],[Cost Estimator]]/Dietary_Sample[[#This Row],[Diet Hrsn]]</f>
        <v>28.522771067349719</v>
      </c>
      <c r="Q40" s="10">
        <f>COUNTIFS('Dietary Detail'!$R:$R,$A40,'Dietary Detail'!$U:$U,RIGHT(Q$1,4))</f>
        <v>0</v>
      </c>
      <c r="R40" s="10">
        <f>COUNTIFS('Dietary Detail'!$R:$R,$A40,'Dietary Detail'!$U:$U,RIGHT(R$1,4))</f>
        <v>4</v>
      </c>
      <c r="S40" s="10">
        <f>+Dietary_Sample[[#This Row],[Employee count Sample Data Aide]]+Dietary_Sample[[#This Row],[Employee count Sample Data Cook]]</f>
        <v>4</v>
      </c>
      <c r="T40" s="13">
        <v>0</v>
      </c>
      <c r="U40" s="13">
        <v>0</v>
      </c>
      <c r="V40" s="13">
        <v>0</v>
      </c>
      <c r="W40" s="13">
        <v>0</v>
      </c>
      <c r="X40" s="13">
        <v>17.5</v>
      </c>
      <c r="Y40" s="13">
        <v>20.100000000000001</v>
      </c>
      <c r="Z40" s="13">
        <v>20.100000000000001</v>
      </c>
      <c r="AA40" s="13">
        <v>19.450000000000003</v>
      </c>
      <c r="AB40" s="13">
        <f>IF(AND(Dietary_Sample[[#This Row],[Aide median]]=0,Dietary_Sample[[#This Row],[Cook median]]=0),0,IF(Dietary_Sample[[#This Row],[Aide median]]=0,1,Dietary_Sample[[#This Row],[Cook median]]/Dietary_Sample[[#This Row],[Aide median]]))</f>
        <v>1</v>
      </c>
      <c r="AC40" s="13">
        <f>IF(AND(Dietary_Sample[[#This Row],[Aide average]]=0,Dietary_Sample[[#This Row],[Cook average]]=0),0,IF(Dietary_Sample[[#This Row],[Aide average]]=0,1,Dietary_Sample[[#This Row],[Cook average]]/Dietary_Sample[[#This Row],[Aide average]]))</f>
        <v>1</v>
      </c>
      <c r="AD40" s="37">
        <f>COUNTIFS('Dietary Detail'!$R:$R,$A40,'Dietary Detail'!$T:$T,"&lt;"&amp;V40,'Dietary Detail'!$U:$U,RIGHT(AD$1,4))</f>
        <v>0</v>
      </c>
      <c r="AE40" s="37">
        <f>COUNTIFS('Dietary Detail'!$R:$R,$A40,'Dietary Detail'!$T:$T,"&lt;"&amp;W40,'Dietary Detail'!$U:$U,RIGHT(AE$1,4))</f>
        <v>0</v>
      </c>
      <c r="AF40" s="37">
        <f>COUNTIFS('Dietary Detail'!$R:$R,$A40,'Dietary Detail'!$T:$T,"&lt;"&amp;$BG$3,'Dietary Detail'!$U:$U,RIGHT(AF$1,4))</f>
        <v>0</v>
      </c>
      <c r="AG40" s="37">
        <f>COUNTIFS('Dietary Detail'!$R:$R,$A40,'Dietary Detail'!$T:$T,"&lt;"&amp;$BG$4,'Dietary Detail'!$U:$U,RIGHT(AG$1,4))</f>
        <v>0</v>
      </c>
      <c r="AH40" s="37">
        <f>COUNTIFS('Dietary Detail'!$R:$R,$A40,'Dietary Detail'!$T:$T,"&lt;"&amp;$BG$5,'Dietary Detail'!$U:$U,RIGHT(AH$1,4))</f>
        <v>0</v>
      </c>
      <c r="AI40" s="37">
        <f>COUNTIFS('Dietary Detail'!$R:$R,$A40,'Dietary Detail'!$T:$T,"&lt;"&amp;Z40,'Dietary Detail'!$U:$U,RIGHT(AI$1,4))</f>
        <v>1</v>
      </c>
      <c r="AJ40" s="37">
        <f>COUNTIFS('Dietary Detail'!$R:$R,$A40,'Dietary Detail'!$T:$T,"&lt;"&amp;AA40,'Dietary Detail'!$U:$U,RIGHT(AJ$1,4))</f>
        <v>1</v>
      </c>
      <c r="AK40" s="37">
        <f>COUNTIFS('Dietary Detail'!$R:$R,$A40,'Dietary Detail'!$T:$T,"&lt;"&amp;$BH$3,'Dietary Detail'!$U:$U,RIGHT(AK$1,4))</f>
        <v>4</v>
      </c>
      <c r="AL40" s="37">
        <f>COUNTIFS('Dietary Detail'!$R:$R,$A40,'Dietary Detail'!$T:$T,"&lt;"&amp;$BH$4,'Dietary Detail'!$U:$U,RIGHT(AL$1,4))</f>
        <v>1</v>
      </c>
      <c r="AM40" s="37">
        <f>COUNTIFS('Dietary Detail'!$R:$R,$A40,'Dietary Detail'!$T:$T,"&lt;"&amp;$BH$5,'Dietary Detail'!$U:$U,RIGHT(AM$1,4))</f>
        <v>1</v>
      </c>
      <c r="AN40" s="12">
        <f>+Dietary_Sample[[#This Row],[Aide median]]*Dietary_Sample[[#This Row],[Aide Hours]]</f>
        <v>0</v>
      </c>
      <c r="AO40" s="12">
        <f>+Dietary_Sample[[#This Row],[Aide average]]*Dietary_Sample[[#This Row],[Aide Hours]]</f>
        <v>0</v>
      </c>
      <c r="AP40" s="12">
        <f>+Dietary_Sample[[#This Row],[Cook median]]*Dietary_Sample[[#This Row],[Cook Hours]]</f>
        <v>427667.7</v>
      </c>
      <c r="AQ40" s="12">
        <f>+Dietary_Sample[[#This Row],[Cook average]]*Dietary_Sample[[#This Row],[Cook Hours]]</f>
        <v>413837.65000000008</v>
      </c>
      <c r="AR40" s="12">
        <f>+Dietary_Sample[[#This Row],[Est average Aide wage cost]]+Dietary_Sample[[#This Row],[Est average Cook wage cost]]</f>
        <v>413837.65000000008</v>
      </c>
      <c r="AS40" s="12">
        <f>+Dietary_Sample[[#This Row],[Est average Aide wage cost]]+Dietary_Sample[[#This Row],[Est average Cook wage cost]]</f>
        <v>413837.65000000008</v>
      </c>
      <c r="AT40" s="14">
        <f>IF(Dietary_Sample[[#This Row],[Aide cost estimator]]=0,0,Dietary_Sample[[#This Row],[Est median Aide wage cost ]]/Dietary_Sample[[#This Row],[Aide cost estimator]])</f>
        <v>0</v>
      </c>
      <c r="AU40" s="14">
        <f>IF(Dietary_Sample[[#This Row],[Aide cost estimator]]=0,0,Dietary_Sample[[#This Row],[Est average Aide wage cost]]/Dietary_Sample[[#This Row],[Aide cost estimator]])</f>
        <v>0</v>
      </c>
      <c r="AV40" s="14">
        <f>IF(Dietary_Sample[[#This Row],[Cook cost estimator]]=0,0,Dietary_Sample[[#This Row],[Est median Cook wage cost]]/Dietary_Sample[[#This Row],[Cook cost estimator]])</f>
        <v>0.70470011320213755</v>
      </c>
      <c r="AW40" s="14">
        <f>IF(Dietary_Sample[[#This Row],[Cook cost estimator]]=0,0,Dietary_Sample[[#This Row],[Est average Cook wage cost]]/Dietary_Sample[[#This Row],[Cook cost estimator]])</f>
        <v>0.68191130357122276</v>
      </c>
      <c r="AX40" s="14">
        <f>IF(Dietary_Sample[[#This Row],[Aide median]]=0,0,Dietary_Sample[[#This Row],[Aide min]]/Dietary_Sample[[#This Row],[Aide median]])</f>
        <v>0</v>
      </c>
      <c r="AY40" s="14">
        <f>IF(Dietary_Sample[[#This Row],[Aide median]]=0,0,Dietary_Sample[[#This Row],[Aide max]]/Dietary_Sample[[#This Row],[Aide median]])</f>
        <v>0</v>
      </c>
      <c r="AZ40" s="14">
        <f>IF(Dietary_Sample[[#This Row],[Cook median]]=0,0,Dietary_Sample[[#This Row],[Cook min]]/Dietary_Sample[[#This Row],[Cook median]])</f>
        <v>0.87064676616915415</v>
      </c>
      <c r="BA40" s="14">
        <f>IF(Dietary_Sample[[#This Row],[Cook median]]=0,0,Dietary_Sample[[#This Row],[Cook max]]/Dietary_Sample[[#This Row],[Cook median]])</f>
        <v>1</v>
      </c>
      <c r="BB40" s="12">
        <f>VLOOKUP(A40,Summary!$1:$1048576,2,FALSE)</f>
        <v>1</v>
      </c>
    </row>
    <row r="41" spans="1:54" x14ac:dyDescent="0.55000000000000004">
      <c r="A41" s="10">
        <v>528</v>
      </c>
      <c r="B41" s="10" t="s">
        <v>54</v>
      </c>
      <c r="C41" s="10">
        <f>VLOOKUP($A41,'SAS Data'!$1:$1048576,MATCH(C$1,'SAS Data'!$3:$3,0),FALSE)</f>
        <v>5</v>
      </c>
      <c r="D41" s="10">
        <f>VLOOKUP($A41,'SAS Data'!$1:$1048576,MATCH(D$1,'SAS Data'!$3:$3,0),FALSE)</f>
        <v>3</v>
      </c>
      <c r="E41" s="10">
        <f t="shared" si="1"/>
        <v>8</v>
      </c>
      <c r="F41" s="11">
        <f>VLOOKUP($A41,'SAS Data'!$1:$1048576,MATCH(F$1,'SAS Data'!$3:$3,0),FALSE)</f>
        <v>10.789880621018124</v>
      </c>
      <c r="G41" s="12">
        <f>+Dietary_Sample[[#This Row],[Diet Cph]]*Dietary_Sample[[#This Row],[Diet Hrsn]]</f>
        <v>174440</v>
      </c>
      <c r="H4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129586.49324662331</v>
      </c>
      <c r="I41" s="17">
        <f>+Dietary_Sample[[#This Row],[Employee count Sample Data Aide]]/Dietary_Sample[[#This Row],[Total aide &amp; Cook]]*Dietary_Sample[[#This Row],[Diet Hrsn]]</f>
        <v>12702.642857142857</v>
      </c>
      <c r="J41" s="13">
        <f>IF(Dietary_Sample[[#This Row],[Aide Hours]]=0,0,Dietary_Sample[[#This Row],[Aide cost estimator]]/Dietary_Sample[[#This Row],[Aide Hours]])</f>
        <v>10.201537955840047</v>
      </c>
      <c r="K4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44853.506753376685</v>
      </c>
      <c r="L41" s="17">
        <f>+Dietary_Sample[[#This Row],[Employee count Sample Data Cook]]/Dietary_Sample[[#This Row],[Total aide &amp; Cook]]*Dietary_Sample[[#This Row],[Diet Hrsn]]</f>
        <v>3464.3571428571427</v>
      </c>
      <c r="M41" s="13">
        <f>IF(Dietary_Sample[[#This Row],[Cook Hours]]=0,0,Dietary_Sample[[#This Row],[Cook cost estimator]]/Dietary_Sample[[#This Row],[Cook Hours]])</f>
        <v>12.947137060004405</v>
      </c>
      <c r="N41" s="12">
        <f>VLOOKUP(A41,'Estimator data 120523'!$A:$F,5,FALSE)</f>
        <v>174440</v>
      </c>
      <c r="O41" s="12">
        <f>VLOOKUP($A41,'SAS Data'!$1:$1048576,MATCH(O$1,'SAS Data'!$3:$3,0),FALSE)</f>
        <v>16167</v>
      </c>
      <c r="P41" s="13">
        <f>+Dietary_Sample[[#This Row],[Cost Estimator]]/Dietary_Sample[[#This Row],[Diet Hrsn]]</f>
        <v>10.789880621018124</v>
      </c>
      <c r="Q41" s="10">
        <f>COUNTIFS('Dietary Detail'!$R:$R,$A41,'Dietary Detail'!$U:$U,RIGHT(Q$1,4))</f>
        <v>11</v>
      </c>
      <c r="R41" s="10">
        <f>COUNTIFS('Dietary Detail'!$R:$R,$A41,'Dietary Detail'!$U:$U,RIGHT(R$1,4))</f>
        <v>3</v>
      </c>
      <c r="S41" s="10">
        <f>+Dietary_Sample[[#This Row],[Employee count Sample Data Aide]]+Dietary_Sample[[#This Row],[Employee count Sample Data Cook]]</f>
        <v>14</v>
      </c>
      <c r="T41" s="13">
        <v>16.2</v>
      </c>
      <c r="U41" s="13">
        <v>22.41</v>
      </c>
      <c r="V41" s="13">
        <v>16.2</v>
      </c>
      <c r="W41" s="13">
        <v>17.221818181818175</v>
      </c>
      <c r="X41" s="13">
        <v>17.89</v>
      </c>
      <c r="Y41" s="13">
        <v>21.59</v>
      </c>
      <c r="Z41" s="13">
        <v>20.56</v>
      </c>
      <c r="AA41" s="13">
        <v>20.013333333333335</v>
      </c>
      <c r="AB41" s="13">
        <f>IF(AND(Dietary_Sample[[#This Row],[Aide median]]=0,Dietary_Sample[[#This Row],[Cook median]]=0),0,IF(Dietary_Sample[[#This Row],[Aide median]]=0,1,Dietary_Sample[[#This Row],[Cook median]]/Dietary_Sample[[#This Row],[Aide median]]))</f>
        <v>1.2691358024691357</v>
      </c>
      <c r="AC41" s="13">
        <f>IF(AND(Dietary_Sample[[#This Row],[Aide average]]=0,Dietary_Sample[[#This Row],[Cook average]]=0),0,IF(Dietary_Sample[[#This Row],[Aide average]]=0,1,Dietary_Sample[[#This Row],[Cook average]]/Dietary_Sample[[#This Row],[Aide average]]))</f>
        <v>1.1620917792792798</v>
      </c>
      <c r="AD41" s="37">
        <f>COUNTIFS('Dietary Detail'!$R:$R,$A41,'Dietary Detail'!$T:$T,"&lt;"&amp;V41,'Dietary Detail'!$U:$U,RIGHT(AD$1,4))</f>
        <v>0</v>
      </c>
      <c r="AE41" s="37">
        <f>COUNTIFS('Dietary Detail'!$R:$R,$A41,'Dietary Detail'!$T:$T,"&lt;"&amp;W41,'Dietary Detail'!$U:$U,RIGHT(AE$1,4))</f>
        <v>8</v>
      </c>
      <c r="AF41" s="37">
        <f>COUNTIFS('Dietary Detail'!$R:$R,$A41,'Dietary Detail'!$T:$T,"&lt;"&amp;$BG$3,'Dietary Detail'!$U:$U,RIGHT(AF$1,4))</f>
        <v>11</v>
      </c>
      <c r="AG41" s="37">
        <f>COUNTIFS('Dietary Detail'!$R:$R,$A41,'Dietary Detail'!$T:$T,"&lt;"&amp;$BG$4,'Dietary Detail'!$U:$U,RIGHT(AG$1,4))</f>
        <v>0</v>
      </c>
      <c r="AH41" s="37">
        <f>COUNTIFS('Dietary Detail'!$R:$R,$A41,'Dietary Detail'!$T:$T,"&lt;"&amp;$BG$5,'Dietary Detail'!$U:$U,RIGHT(AH$1,4))</f>
        <v>8</v>
      </c>
      <c r="AI41" s="37">
        <f>COUNTIFS('Dietary Detail'!$R:$R,$A41,'Dietary Detail'!$T:$T,"&lt;"&amp;Z41,'Dietary Detail'!$U:$U,RIGHT(AI$1,4))</f>
        <v>1</v>
      </c>
      <c r="AJ41" s="37">
        <f>COUNTIFS('Dietary Detail'!$R:$R,$A41,'Dietary Detail'!$T:$T,"&lt;"&amp;AA41,'Dietary Detail'!$U:$U,RIGHT(AJ$1,4))</f>
        <v>1</v>
      </c>
      <c r="AK41" s="37">
        <f>COUNTIFS('Dietary Detail'!$R:$R,$A41,'Dietary Detail'!$T:$T,"&lt;"&amp;$BH$3,'Dietary Detail'!$U:$U,RIGHT(AK$1,4))</f>
        <v>3</v>
      </c>
      <c r="AL41" s="37">
        <f>COUNTIFS('Dietary Detail'!$R:$R,$A41,'Dietary Detail'!$T:$T,"&lt;"&amp;$BH$4,'Dietary Detail'!$U:$U,RIGHT(AL$1,4))</f>
        <v>1</v>
      </c>
      <c r="AM41" s="37">
        <f>COUNTIFS('Dietary Detail'!$R:$R,$A41,'Dietary Detail'!$T:$T,"&lt;"&amp;$BH$5,'Dietary Detail'!$U:$U,RIGHT(AM$1,4))</f>
        <v>1</v>
      </c>
      <c r="AN41" s="12">
        <f>+Dietary_Sample[[#This Row],[Aide median]]*Dietary_Sample[[#This Row],[Aide Hours]]</f>
        <v>205782.81428571427</v>
      </c>
      <c r="AO41" s="12">
        <f>+Dietary_Sample[[#This Row],[Aide average]]*Dietary_Sample[[#This Row],[Aide Hours]]</f>
        <v>218762.60571428563</v>
      </c>
      <c r="AP41" s="12">
        <f>+Dietary_Sample[[#This Row],[Cook median]]*Dietary_Sample[[#This Row],[Cook Hours]]</f>
        <v>71227.182857142849</v>
      </c>
      <c r="AQ41" s="12">
        <f>+Dietary_Sample[[#This Row],[Cook average]]*Dietary_Sample[[#This Row],[Cook Hours]]</f>
        <v>69333.334285714285</v>
      </c>
      <c r="AR41" s="12">
        <f>+Dietary_Sample[[#This Row],[Est average Aide wage cost]]+Dietary_Sample[[#This Row],[Est average Cook wage cost]]</f>
        <v>288095.93999999994</v>
      </c>
      <c r="AS41" s="12">
        <f>+Dietary_Sample[[#This Row],[Est average Aide wage cost]]+Dietary_Sample[[#This Row],[Est average Cook wage cost]]</f>
        <v>288095.93999999994</v>
      </c>
      <c r="AT41" s="14">
        <f>IF(Dietary_Sample[[#This Row],[Aide cost estimator]]=0,0,Dietary_Sample[[#This Row],[Est median Aide wage cost ]]/Dietary_Sample[[#This Row],[Aide cost estimator]])</f>
        <v>1.5879958561273624</v>
      </c>
      <c r="AU41" s="14">
        <f>IF(Dietary_Sample[[#This Row],[Aide cost estimator]]=0,0,Dietary_Sample[[#This Row],[Est average Aide wage cost]]/Dietary_Sample[[#This Row],[Aide cost estimator]])</f>
        <v>1.6881590066485268</v>
      </c>
      <c r="AV41" s="14">
        <f>IF(Dietary_Sample[[#This Row],[Cook cost estimator]]=0,0,Dietary_Sample[[#This Row],[Est median Cook wage cost]]/Dietary_Sample[[#This Row],[Cook cost estimator]])</f>
        <v>1.5879958561273626</v>
      </c>
      <c r="AW41" s="14">
        <f>IF(Dietary_Sample[[#This Row],[Cook cost estimator]]=0,0,Dietary_Sample[[#This Row],[Est average Cook wage cost]]/Dietary_Sample[[#This Row],[Cook cost estimator]])</f>
        <v>1.545772879408023</v>
      </c>
      <c r="AX41" s="14">
        <f>IF(Dietary_Sample[[#This Row],[Aide median]]=0,0,Dietary_Sample[[#This Row],[Aide min]]/Dietary_Sample[[#This Row],[Aide median]])</f>
        <v>1</v>
      </c>
      <c r="AY41" s="14">
        <f>IF(Dietary_Sample[[#This Row],[Aide median]]=0,0,Dietary_Sample[[#This Row],[Aide max]]/Dietary_Sample[[#This Row],[Aide median]])</f>
        <v>1.3833333333333333</v>
      </c>
      <c r="AZ41" s="14">
        <f>IF(Dietary_Sample[[#This Row],[Cook median]]=0,0,Dietary_Sample[[#This Row],[Cook min]]/Dietary_Sample[[#This Row],[Cook median]])</f>
        <v>0.87013618677042814</v>
      </c>
      <c r="BA41" s="14">
        <f>IF(Dietary_Sample[[#This Row],[Cook median]]=0,0,Dietary_Sample[[#This Row],[Cook max]]/Dietary_Sample[[#This Row],[Cook median]])</f>
        <v>1.0500972762645915</v>
      </c>
      <c r="BB41" s="12">
        <f>VLOOKUP(A41,Summary!$1:$1048576,2,FALSE)</f>
        <v>1</v>
      </c>
    </row>
    <row r="42" spans="1:54" x14ac:dyDescent="0.55000000000000004">
      <c r="A42" s="10">
        <v>535</v>
      </c>
      <c r="B42" s="10" t="s">
        <v>54</v>
      </c>
      <c r="C42" s="10">
        <f>VLOOKUP($A42,'SAS Data'!$1:$1048576,MATCH(C$1,'SAS Data'!$3:$3,0),FALSE)</f>
        <v>14</v>
      </c>
      <c r="D42" s="10">
        <f>VLOOKUP($A42,'SAS Data'!$1:$1048576,MATCH(D$1,'SAS Data'!$3:$3,0),FALSE)</f>
        <v>24</v>
      </c>
      <c r="E42" s="10">
        <f t="shared" si="1"/>
        <v>38</v>
      </c>
      <c r="F42" s="11">
        <f>VLOOKUP($A42,'SAS Data'!$1:$1048576,MATCH(F$1,'SAS Data'!$3:$3,0),FALSE)</f>
        <v>18.356665111214806</v>
      </c>
      <c r="G42" s="12">
        <f>+Dietary_Sample[[#This Row],[Diet Cph]]*Dietary_Sample[[#This Row],[Diet Hrsn]]</f>
        <v>236029.99999999997</v>
      </c>
      <c r="H4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202368.22571588994</v>
      </c>
      <c r="I42" s="17">
        <f>+Dietary_Sample[[#This Row],[Employee count Sample Data Aide]]/Dietary_Sample[[#This Row],[Total aide &amp; Cook]]*Dietary_Sample[[#This Row],[Diet Hrsn]]</f>
        <v>11429.333333333332</v>
      </c>
      <c r="J42" s="13">
        <f>IF(Dietary_Sample[[#This Row],[Aide Hours]]=0,0,Dietary_Sample[[#This Row],[Aide cost estimator]]/Dietary_Sample[[#This Row],[Aide Hours]])</f>
        <v>17.706039347517205</v>
      </c>
      <c r="K4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33661.774284110055</v>
      </c>
      <c r="L42" s="17">
        <f>+Dietary_Sample[[#This Row],[Employee count Sample Data Cook]]/Dietary_Sample[[#This Row],[Total aide &amp; Cook]]*Dietary_Sample[[#This Row],[Diet Hrsn]]</f>
        <v>1428.6666666666665</v>
      </c>
      <c r="M42" s="13">
        <f>IF(Dietary_Sample[[#This Row],[Cook Hours]]=0,0,Dietary_Sample[[#This Row],[Cook cost estimator]]/Dietary_Sample[[#This Row],[Cook Hours]])</f>
        <v>23.561671220795656</v>
      </c>
      <c r="N42" s="12">
        <f>VLOOKUP(A42,'Estimator data 120523'!$A:$F,5,FALSE)</f>
        <v>236030</v>
      </c>
      <c r="O42" s="12">
        <f>VLOOKUP($A42,'SAS Data'!$1:$1048576,MATCH(O$1,'SAS Data'!$3:$3,0),FALSE)</f>
        <v>12858</v>
      </c>
      <c r="P42" s="13">
        <f>+Dietary_Sample[[#This Row],[Cost Estimator]]/Dietary_Sample[[#This Row],[Diet Hrsn]]</f>
        <v>18.356665111214809</v>
      </c>
      <c r="Q42" s="10">
        <f>COUNTIFS('Dietary Detail'!$R:$R,$A42,'Dietary Detail'!$U:$U,RIGHT(Q$1,4))</f>
        <v>48</v>
      </c>
      <c r="R42" s="10">
        <f>COUNTIFS('Dietary Detail'!$R:$R,$A42,'Dietary Detail'!$U:$U,RIGHT(R$1,4))</f>
        <v>6</v>
      </c>
      <c r="S42" s="10">
        <f>+Dietary_Sample[[#This Row],[Employee count Sample Data Aide]]+Dietary_Sample[[#This Row],[Employee count Sample Data Cook]]</f>
        <v>54</v>
      </c>
      <c r="T42" s="13">
        <v>15.27</v>
      </c>
      <c r="U42" s="13">
        <v>18.440000000000001</v>
      </c>
      <c r="V42" s="13">
        <v>15.27</v>
      </c>
      <c r="W42" s="13">
        <v>15.658333333333323</v>
      </c>
      <c r="X42" s="13">
        <v>18.04</v>
      </c>
      <c r="Y42" s="13">
        <v>21.15</v>
      </c>
      <c r="Z42" s="13">
        <v>20.32</v>
      </c>
      <c r="AA42" s="13">
        <v>20.048333333333332</v>
      </c>
      <c r="AB42" s="13">
        <f>IF(AND(Dietary_Sample[[#This Row],[Aide median]]=0,Dietary_Sample[[#This Row],[Cook median]]=0),0,IF(Dietary_Sample[[#This Row],[Aide median]]=0,1,Dietary_Sample[[#This Row],[Cook median]]/Dietary_Sample[[#This Row],[Aide median]]))</f>
        <v>1.3307138179436804</v>
      </c>
      <c r="AC42" s="13">
        <f>IF(AND(Dietary_Sample[[#This Row],[Aide average]]=0,Dietary_Sample[[#This Row],[Cook average]]=0),0,IF(Dietary_Sample[[#This Row],[Aide average]]=0,1,Dietary_Sample[[#This Row],[Cook average]]/Dietary_Sample[[#This Row],[Aide average]]))</f>
        <v>1.2803618946248012</v>
      </c>
      <c r="AD42" s="37">
        <f>COUNTIFS('Dietary Detail'!$R:$R,$A42,'Dietary Detail'!$T:$T,"&lt;"&amp;V42,'Dietary Detail'!$U:$U,RIGHT(AD$1,4))</f>
        <v>0</v>
      </c>
      <c r="AE42" s="37">
        <f>COUNTIFS('Dietary Detail'!$R:$R,$A42,'Dietary Detail'!$T:$T,"&lt;"&amp;W42,'Dietary Detail'!$U:$U,RIGHT(AE$1,4))</f>
        <v>39</v>
      </c>
      <c r="AF42" s="37">
        <f>COUNTIFS('Dietary Detail'!$R:$R,$A42,'Dietary Detail'!$T:$T,"&lt;"&amp;$BG$3,'Dietary Detail'!$U:$U,RIGHT(AF$1,4))</f>
        <v>48</v>
      </c>
      <c r="AG42" s="37">
        <f>COUNTIFS('Dietary Detail'!$R:$R,$A42,'Dietary Detail'!$T:$T,"&lt;"&amp;$BG$4,'Dietary Detail'!$U:$U,RIGHT(AG$1,4))</f>
        <v>41</v>
      </c>
      <c r="AH42" s="37">
        <f>COUNTIFS('Dietary Detail'!$R:$R,$A42,'Dietary Detail'!$T:$T,"&lt;"&amp;$BG$5,'Dietary Detail'!$U:$U,RIGHT(AH$1,4))</f>
        <v>43</v>
      </c>
      <c r="AI42" s="37">
        <f>COUNTIFS('Dietary Detail'!$R:$R,$A42,'Dietary Detail'!$T:$T,"&lt;"&amp;Z42,'Dietary Detail'!$U:$U,RIGHT(AI$1,4))</f>
        <v>2</v>
      </c>
      <c r="AJ42" s="37">
        <f>COUNTIFS('Dietary Detail'!$R:$R,$A42,'Dietary Detail'!$T:$T,"&lt;"&amp;AA42,'Dietary Detail'!$U:$U,RIGHT(AJ$1,4))</f>
        <v>2</v>
      </c>
      <c r="AK42" s="37">
        <f>COUNTIFS('Dietary Detail'!$R:$R,$A42,'Dietary Detail'!$T:$T,"&lt;"&amp;$BH$3,'Dietary Detail'!$U:$U,RIGHT(AK$1,4))</f>
        <v>6</v>
      </c>
      <c r="AL42" s="37">
        <f>COUNTIFS('Dietary Detail'!$R:$R,$A42,'Dietary Detail'!$T:$T,"&lt;"&amp;$BH$4,'Dietary Detail'!$U:$U,RIGHT(AL$1,4))</f>
        <v>2</v>
      </c>
      <c r="AM42" s="37">
        <f>COUNTIFS('Dietary Detail'!$R:$R,$A42,'Dietary Detail'!$T:$T,"&lt;"&amp;$BH$5,'Dietary Detail'!$U:$U,RIGHT(AM$1,4))</f>
        <v>2</v>
      </c>
      <c r="AN42" s="12">
        <f>+Dietary_Sample[[#This Row],[Aide median]]*Dietary_Sample[[#This Row],[Aide Hours]]</f>
        <v>174525.91999999998</v>
      </c>
      <c r="AO42" s="12">
        <f>+Dietary_Sample[[#This Row],[Aide average]]*Dietary_Sample[[#This Row],[Aide Hours]]</f>
        <v>178964.31111111096</v>
      </c>
      <c r="AP42" s="12">
        <f>+Dietary_Sample[[#This Row],[Cook median]]*Dietary_Sample[[#This Row],[Cook Hours]]</f>
        <v>29030.506666666664</v>
      </c>
      <c r="AQ42" s="12">
        <f>+Dietary_Sample[[#This Row],[Cook average]]*Dietary_Sample[[#This Row],[Cook Hours]]</f>
        <v>28642.385555555549</v>
      </c>
      <c r="AR42" s="12">
        <f>+Dietary_Sample[[#This Row],[Est average Aide wage cost]]+Dietary_Sample[[#This Row],[Est average Cook wage cost]]</f>
        <v>207606.69666666651</v>
      </c>
      <c r="AS42" s="12">
        <f>+Dietary_Sample[[#This Row],[Est average Aide wage cost]]+Dietary_Sample[[#This Row],[Est average Cook wage cost]]</f>
        <v>207606.69666666651</v>
      </c>
      <c r="AT42" s="14">
        <f>IF(Dietary_Sample[[#This Row],[Aide cost estimator]]=0,0,Dietary_Sample[[#This Row],[Est median Aide wage cost ]]/Dietary_Sample[[#This Row],[Aide cost estimator]])</f>
        <v>0.86241760228219566</v>
      </c>
      <c r="AU42" s="14">
        <f>IF(Dietary_Sample[[#This Row],[Aide cost estimator]]=0,0,Dietary_Sample[[#This Row],[Est average Aide wage cost]]/Dietary_Sample[[#This Row],[Aide cost estimator]])</f>
        <v>0.88434985521078613</v>
      </c>
      <c r="AV42" s="14">
        <f>IF(Dietary_Sample[[#This Row],[Cook cost estimator]]=0,0,Dietary_Sample[[#This Row],[Est median Cook wage cost]]/Dietary_Sample[[#This Row],[Cook cost estimator]])</f>
        <v>0.86241760228219555</v>
      </c>
      <c r="AW42" s="14">
        <f>IF(Dietary_Sample[[#This Row],[Cook cost estimator]]=0,0,Dietary_Sample[[#This Row],[Est average Cook wage cost]]/Dietary_Sample[[#This Row],[Cook cost estimator]])</f>
        <v>0.85088757692359984</v>
      </c>
      <c r="AX42" s="14">
        <f>IF(Dietary_Sample[[#This Row],[Aide median]]=0,0,Dietary_Sample[[#This Row],[Aide min]]/Dietary_Sample[[#This Row],[Aide median]])</f>
        <v>1</v>
      </c>
      <c r="AY42" s="14">
        <f>IF(Dietary_Sample[[#This Row],[Aide median]]=0,0,Dietary_Sample[[#This Row],[Aide max]]/Dietary_Sample[[#This Row],[Aide median]])</f>
        <v>1.2075965946299936</v>
      </c>
      <c r="AZ42" s="14">
        <f>IF(Dietary_Sample[[#This Row],[Cook median]]=0,0,Dietary_Sample[[#This Row],[Cook min]]/Dietary_Sample[[#This Row],[Cook median]])</f>
        <v>0.88779527559055116</v>
      </c>
      <c r="BA42" s="14">
        <f>IF(Dietary_Sample[[#This Row],[Cook median]]=0,0,Dietary_Sample[[#This Row],[Cook max]]/Dietary_Sample[[#This Row],[Cook median]])</f>
        <v>1.0408464566929132</v>
      </c>
      <c r="BB42" s="12">
        <f>VLOOKUP(A42,Summary!$1:$1048576,2,FALSE)</f>
        <v>3</v>
      </c>
    </row>
    <row r="43" spans="1:54" x14ac:dyDescent="0.55000000000000004">
      <c r="A43" s="10">
        <v>540</v>
      </c>
      <c r="B43" s="10" t="s">
        <v>54</v>
      </c>
      <c r="C43" s="10">
        <f>VLOOKUP($A43,'SAS Data'!$1:$1048576,MATCH(C$1,'SAS Data'!$3:$3,0),FALSE)</f>
        <v>23</v>
      </c>
      <c r="D43" s="10">
        <f>VLOOKUP($A43,'SAS Data'!$1:$1048576,MATCH(D$1,'SAS Data'!$3:$3,0),FALSE)</f>
        <v>4</v>
      </c>
      <c r="E43" s="10">
        <f t="shared" si="1"/>
        <v>27</v>
      </c>
      <c r="F43" s="11">
        <f>VLOOKUP($A43,'SAS Data'!$1:$1048576,MATCH(F$1,'SAS Data'!$3:$3,0),FALSE)</f>
        <v>0</v>
      </c>
      <c r="G43" s="12">
        <f>+Dietary_Sample[[#This Row],[Diet Cph]]*Dietary_Sample[[#This Row],[Diet Hrsn]]</f>
        <v>0</v>
      </c>
      <c r="H4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544150.92922169191</v>
      </c>
      <c r="I43" s="17">
        <f>+Dietary_Sample[[#This Row],[Employee count Sample Data Aide]]/Dietary_Sample[[#This Row],[Total aide &amp; Cook]]*Dietary_Sample[[#This Row],[Diet Hrsn]]</f>
        <v>30113.571428571428</v>
      </c>
      <c r="J43" s="13">
        <f>IF(Dietary_Sample[[#This Row],[Aide Hours]]=0,0,Dietary_Sample[[#This Row],[Aide cost estimator]]/Dietary_Sample[[#This Row],[Aide Hours]])</f>
        <v>18.069956614492011</v>
      </c>
      <c r="K4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187402.40649414732</v>
      </c>
      <c r="L43" s="17">
        <f>+Dietary_Sample[[#This Row],[Employee count Sample Data Cook]]/Dietary_Sample[[#This Row],[Total aide &amp; Cook]]*Dietary_Sample[[#This Row],[Diet Hrsn]]</f>
        <v>7721.4285714285716</v>
      </c>
      <c r="M43" s="13">
        <f>IF(Dietary_Sample[[#This Row],[Cook Hours]]=0,0,Dietary_Sample[[#This Row],[Cook cost estimator]]/Dietary_Sample[[#This Row],[Cook Hours]])</f>
        <v>24.270431923386333</v>
      </c>
      <c r="N43" s="12">
        <f>VLOOKUP(A43,'Estimator data 120523'!$A:$F,5,FALSE)</f>
        <v>731553.33571583929</v>
      </c>
      <c r="O43" s="12">
        <f>VLOOKUP($A43,'SAS Data'!$1:$1048576,MATCH(O$1,'SAS Data'!$3:$3,0),FALSE)</f>
        <v>37835</v>
      </c>
      <c r="P43" s="13">
        <f>+Dietary_Sample[[#This Row],[Cost Estimator]]/Dietary_Sample[[#This Row],[Diet Hrsn]]</f>
        <v>19.335359738756161</v>
      </c>
      <c r="Q43" s="10">
        <f>COUNTIFS('Dietary Detail'!$R:$R,$A43,'Dietary Detail'!$U:$U,RIGHT(Q$1,4))</f>
        <v>39</v>
      </c>
      <c r="R43" s="10">
        <f>COUNTIFS('Dietary Detail'!$R:$R,$A43,'Dietary Detail'!$U:$U,RIGHT(R$1,4))</f>
        <v>10</v>
      </c>
      <c r="S43" s="10">
        <f>+Dietary_Sample[[#This Row],[Employee count Sample Data Aide]]+Dietary_Sample[[#This Row],[Employee count Sample Data Cook]]</f>
        <v>49</v>
      </c>
      <c r="T43" s="13">
        <v>15.4</v>
      </c>
      <c r="U43" s="13">
        <v>21.63</v>
      </c>
      <c r="V43" s="13">
        <v>16.32</v>
      </c>
      <c r="W43" s="13">
        <v>16.891282051282051</v>
      </c>
      <c r="X43" s="13">
        <v>17.7</v>
      </c>
      <c r="Y43" s="13">
        <v>23.5</v>
      </c>
      <c r="Z43" s="13">
        <v>21.92</v>
      </c>
      <c r="AA43" s="13">
        <v>21.286000000000001</v>
      </c>
      <c r="AB43" s="13">
        <f>IF(AND(Dietary_Sample[[#This Row],[Aide median]]=0,Dietary_Sample[[#This Row],[Cook median]]=0),0,IF(Dietary_Sample[[#This Row],[Aide median]]=0,1,Dietary_Sample[[#This Row],[Cook median]]/Dietary_Sample[[#This Row],[Aide median]]))</f>
        <v>1.3431372549019609</v>
      </c>
      <c r="AC43" s="13">
        <f>IF(AND(Dietary_Sample[[#This Row],[Aide average]]=0,Dietary_Sample[[#This Row],[Cook average]]=0),0,IF(Dietary_Sample[[#This Row],[Aide average]]=0,1,Dietary_Sample[[#This Row],[Cook average]]/Dietary_Sample[[#This Row],[Aide average]]))</f>
        <v>1.2601766956099338</v>
      </c>
      <c r="AD43" s="37">
        <f>COUNTIFS('Dietary Detail'!$R:$R,$A43,'Dietary Detail'!$T:$T,"&lt;"&amp;V43,'Dietary Detail'!$U:$U,RIGHT(AD$1,4))</f>
        <v>19</v>
      </c>
      <c r="AE43" s="37">
        <f>COUNTIFS('Dietary Detail'!$R:$R,$A43,'Dietary Detail'!$T:$T,"&lt;"&amp;W43,'Dietary Detail'!$U:$U,RIGHT(AE$1,4))</f>
        <v>27</v>
      </c>
      <c r="AF43" s="37">
        <f>COUNTIFS('Dietary Detail'!$R:$R,$A43,'Dietary Detail'!$T:$T,"&lt;"&amp;$BG$3,'Dietary Detail'!$U:$U,RIGHT(AF$1,4))</f>
        <v>39</v>
      </c>
      <c r="AG43" s="37">
        <f>COUNTIFS('Dietary Detail'!$R:$R,$A43,'Dietary Detail'!$T:$T,"&lt;"&amp;$BG$4,'Dietary Detail'!$U:$U,RIGHT(AG$1,4))</f>
        <v>18</v>
      </c>
      <c r="AH43" s="37">
        <f>COUNTIFS('Dietary Detail'!$R:$R,$A43,'Dietary Detail'!$T:$T,"&lt;"&amp;$BG$5,'Dietary Detail'!$U:$U,RIGHT(AH$1,4))</f>
        <v>21</v>
      </c>
      <c r="AI43" s="37">
        <f>COUNTIFS('Dietary Detail'!$R:$R,$A43,'Dietary Detail'!$T:$T,"&lt;"&amp;Z43,'Dietary Detail'!$U:$U,RIGHT(AI$1,4))</f>
        <v>3</v>
      </c>
      <c r="AJ43" s="37">
        <f>COUNTIFS('Dietary Detail'!$R:$R,$A43,'Dietary Detail'!$T:$T,"&lt;"&amp;AA43,'Dietary Detail'!$U:$U,RIGHT(AJ$1,4))</f>
        <v>3</v>
      </c>
      <c r="AK43" s="37">
        <f>COUNTIFS('Dietary Detail'!$R:$R,$A43,'Dietary Detail'!$T:$T,"&lt;"&amp;$BH$3,'Dietary Detail'!$U:$U,RIGHT(AK$1,4))</f>
        <v>10</v>
      </c>
      <c r="AL43" s="37">
        <f>COUNTIFS('Dietary Detail'!$R:$R,$A43,'Dietary Detail'!$T:$T,"&lt;"&amp;$BH$4,'Dietary Detail'!$U:$U,RIGHT(AL$1,4))</f>
        <v>3</v>
      </c>
      <c r="AM43" s="37">
        <f>COUNTIFS('Dietary Detail'!$R:$R,$A43,'Dietary Detail'!$T:$T,"&lt;"&amp;$BH$5,'Dietary Detail'!$U:$U,RIGHT(AM$1,4))</f>
        <v>3</v>
      </c>
      <c r="AN43" s="12">
        <f>+Dietary_Sample[[#This Row],[Aide median]]*Dietary_Sample[[#This Row],[Aide Hours]]</f>
        <v>491453.48571428569</v>
      </c>
      <c r="AO43" s="12">
        <f>+Dietary_Sample[[#This Row],[Aide average]]*Dietary_Sample[[#This Row],[Aide Hours]]</f>
        <v>508656.82857142854</v>
      </c>
      <c r="AP43" s="12">
        <f>+Dietary_Sample[[#This Row],[Cook median]]*Dietary_Sample[[#This Row],[Cook Hours]]</f>
        <v>169253.71428571429</v>
      </c>
      <c r="AQ43" s="12">
        <f>+Dietary_Sample[[#This Row],[Cook average]]*Dietary_Sample[[#This Row],[Cook Hours]]</f>
        <v>164358.32857142857</v>
      </c>
      <c r="AR43" s="12">
        <f>+Dietary_Sample[[#This Row],[Est average Aide wage cost]]+Dietary_Sample[[#This Row],[Est average Cook wage cost]]</f>
        <v>673015.15714285709</v>
      </c>
      <c r="AS43" s="12">
        <f>+Dietary_Sample[[#This Row],[Est average Aide wage cost]]+Dietary_Sample[[#This Row],[Est average Cook wage cost]]</f>
        <v>673015.15714285709</v>
      </c>
      <c r="AT43" s="14">
        <f>IF(Dietary_Sample[[#This Row],[Aide cost estimator]]=0,0,Dietary_Sample[[#This Row],[Est median Aide wage cost ]]/Dietary_Sample[[#This Row],[Aide cost estimator]])</f>
        <v>0.90315656800810717</v>
      </c>
      <c r="AU43" s="14">
        <f>IF(Dietary_Sample[[#This Row],[Aide cost estimator]]=0,0,Dietary_Sample[[#This Row],[Est average Aide wage cost]]/Dietary_Sample[[#This Row],[Aide cost estimator]])</f>
        <v>0.93477158864539445</v>
      </c>
      <c r="AV43" s="14">
        <f>IF(Dietary_Sample[[#This Row],[Cook cost estimator]]=0,0,Dietary_Sample[[#This Row],[Est median Cook wage cost]]/Dietary_Sample[[#This Row],[Cook cost estimator]])</f>
        <v>0.90315656800810706</v>
      </c>
      <c r="AW43" s="14">
        <f>IF(Dietary_Sample[[#This Row],[Cook cost estimator]]=0,0,Dietary_Sample[[#This Row],[Est average Cook wage cost]]/Dietary_Sample[[#This Row],[Cook cost estimator]])</f>
        <v>0.87703424756480686</v>
      </c>
      <c r="AX43" s="14">
        <f>IF(Dietary_Sample[[#This Row],[Aide median]]=0,0,Dietary_Sample[[#This Row],[Aide min]]/Dietary_Sample[[#This Row],[Aide median]])</f>
        <v>0.94362745098039214</v>
      </c>
      <c r="AY43" s="14">
        <f>IF(Dietary_Sample[[#This Row],[Aide median]]=0,0,Dietary_Sample[[#This Row],[Aide max]]/Dietary_Sample[[#This Row],[Aide median]])</f>
        <v>1.3253676470588234</v>
      </c>
      <c r="AZ43" s="14">
        <f>IF(Dietary_Sample[[#This Row],[Cook median]]=0,0,Dietary_Sample[[#This Row],[Cook min]]/Dietary_Sample[[#This Row],[Cook median]])</f>
        <v>0.80748175182481741</v>
      </c>
      <c r="BA43" s="14">
        <f>IF(Dietary_Sample[[#This Row],[Cook median]]=0,0,Dietary_Sample[[#This Row],[Cook max]]/Dietary_Sample[[#This Row],[Cook median]])</f>
        <v>1.0720802919708028</v>
      </c>
      <c r="BB43" s="12">
        <f>VLOOKUP(A43,Summary!$1:$1048576,2,FALSE)</f>
        <v>2</v>
      </c>
    </row>
    <row r="44" spans="1:54" x14ac:dyDescent="0.55000000000000004">
      <c r="A44" s="10">
        <v>542</v>
      </c>
      <c r="B44" s="10" t="s">
        <v>54</v>
      </c>
      <c r="C44" s="10">
        <f>VLOOKUP($A44,'SAS Data'!$1:$1048576,MATCH(C$1,'SAS Data'!$3:$3,0),FALSE)</f>
        <v>7</v>
      </c>
      <c r="D44" s="10">
        <f>VLOOKUP($A44,'SAS Data'!$1:$1048576,MATCH(D$1,'SAS Data'!$3:$3,0),FALSE)</f>
        <v>13</v>
      </c>
      <c r="E44" s="10">
        <f t="shared" si="1"/>
        <v>20</v>
      </c>
      <c r="F44" s="11">
        <f>VLOOKUP($A44,'SAS Data'!$1:$1048576,MATCH(F$1,'SAS Data'!$3:$3,0),FALSE)</f>
        <v>17.855587900265789</v>
      </c>
      <c r="G44" s="12">
        <f>+Dietary_Sample[[#This Row],[Diet Cph]]*Dietary_Sample[[#This Row],[Diet Hrsn]]</f>
        <v>423231</v>
      </c>
      <c r="H4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341927.65213671367</v>
      </c>
      <c r="I44" s="17">
        <f>+Dietary_Sample[[#This Row],[Employee count Sample Data Aide]]/Dietary_Sample[[#This Row],[Total aide &amp; Cook]]*Dietary_Sample[[#This Row],[Diet Hrsn]]</f>
        <v>20056.384615384613</v>
      </c>
      <c r="J44" s="13">
        <f>IF(Dietary_Sample[[#This Row],[Aide Hours]]=0,0,Dietary_Sample[[#This Row],[Aide cost estimator]]/Dietary_Sample[[#This Row],[Aide Hours]])</f>
        <v>17.048319460050237</v>
      </c>
      <c r="K4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81303.347863286355</v>
      </c>
      <c r="L44" s="17">
        <f>+Dietary_Sample[[#This Row],[Employee count Sample Data Cook]]/Dietary_Sample[[#This Row],[Total aide &amp; Cook]]*Dietary_Sample[[#This Row],[Diet Hrsn]]</f>
        <v>3646.6153846153848</v>
      </c>
      <c r="M44" s="13">
        <f>IF(Dietary_Sample[[#This Row],[Cook Hours]]=0,0,Dietary_Sample[[#This Row],[Cook cost estimator]]/Dietary_Sample[[#This Row],[Cook Hours]])</f>
        <v>22.295564321451348</v>
      </c>
      <c r="N44" s="12">
        <f>VLOOKUP(A44,'Estimator data 120523'!$A:$F,5,FALSE)</f>
        <v>423231</v>
      </c>
      <c r="O44" s="12">
        <f>VLOOKUP($A44,'SAS Data'!$1:$1048576,MATCH(O$1,'SAS Data'!$3:$3,0),FALSE)</f>
        <v>23703</v>
      </c>
      <c r="P44" s="13">
        <f>+Dietary_Sample[[#This Row],[Cost Estimator]]/Dietary_Sample[[#This Row],[Diet Hrsn]]</f>
        <v>17.855587900265789</v>
      </c>
      <c r="Q44" s="10">
        <f>COUNTIFS('Dietary Detail'!$R:$R,$A44,'Dietary Detail'!$U:$U,RIGHT(Q$1,4))</f>
        <v>22</v>
      </c>
      <c r="R44" s="10">
        <f>COUNTIFS('Dietary Detail'!$R:$R,$A44,'Dietary Detail'!$U:$U,RIGHT(R$1,4))</f>
        <v>4</v>
      </c>
      <c r="S44" s="10">
        <f>+Dietary_Sample[[#This Row],[Employee count Sample Data Aide]]+Dietary_Sample[[#This Row],[Employee count Sample Data Cook]]</f>
        <v>26</v>
      </c>
      <c r="T44" s="13">
        <v>16.309999999999999</v>
      </c>
      <c r="U44" s="13">
        <v>20.09</v>
      </c>
      <c r="V44" s="13">
        <v>16.309999999999999</v>
      </c>
      <c r="W44" s="13">
        <v>16.635454545454543</v>
      </c>
      <c r="X44" s="13">
        <v>19.09</v>
      </c>
      <c r="Y44" s="13">
        <v>24.34</v>
      </c>
      <c r="Z44" s="13">
        <v>21.33</v>
      </c>
      <c r="AA44" s="13">
        <v>21.522500000000001</v>
      </c>
      <c r="AB44" s="13">
        <f>IF(AND(Dietary_Sample[[#This Row],[Aide median]]=0,Dietary_Sample[[#This Row],[Cook median]]=0),0,IF(Dietary_Sample[[#This Row],[Aide median]]=0,1,Dietary_Sample[[#This Row],[Cook median]]/Dietary_Sample[[#This Row],[Aide median]]))</f>
        <v>1.3077866339668915</v>
      </c>
      <c r="AC44" s="13">
        <f>IF(AND(Dietary_Sample[[#This Row],[Aide average]]=0,Dietary_Sample[[#This Row],[Cook average]]=0),0,IF(Dietary_Sample[[#This Row],[Aide average]]=0,1,Dietary_Sample[[#This Row],[Cook average]]/Dietary_Sample[[#This Row],[Aide average]]))</f>
        <v>1.2937728837641405</v>
      </c>
      <c r="AD44" s="37">
        <f>COUNTIFS('Dietary Detail'!$R:$R,$A44,'Dietary Detail'!$T:$T,"&lt;"&amp;V44,'Dietary Detail'!$U:$U,RIGHT(AD$1,4))</f>
        <v>0</v>
      </c>
      <c r="AE44" s="37">
        <f>COUNTIFS('Dietary Detail'!$R:$R,$A44,'Dietary Detail'!$T:$T,"&lt;"&amp;W44,'Dietary Detail'!$U:$U,RIGHT(AE$1,4))</f>
        <v>19</v>
      </c>
      <c r="AF44" s="37">
        <f>COUNTIFS('Dietary Detail'!$R:$R,$A44,'Dietary Detail'!$T:$T,"&lt;"&amp;$BG$3,'Dietary Detail'!$U:$U,RIGHT(AF$1,4))</f>
        <v>22</v>
      </c>
      <c r="AG44" s="37">
        <f>COUNTIFS('Dietary Detail'!$R:$R,$A44,'Dietary Detail'!$T:$T,"&lt;"&amp;$BG$4,'Dietary Detail'!$U:$U,RIGHT(AG$1,4))</f>
        <v>0</v>
      </c>
      <c r="AH44" s="37">
        <f>COUNTIFS('Dietary Detail'!$R:$R,$A44,'Dietary Detail'!$T:$T,"&lt;"&amp;$BG$5,'Dietary Detail'!$U:$U,RIGHT(AH$1,4))</f>
        <v>19</v>
      </c>
      <c r="AI44" s="37">
        <f>COUNTIFS('Dietary Detail'!$R:$R,$A44,'Dietary Detail'!$T:$T,"&lt;"&amp;Z44,'Dietary Detail'!$U:$U,RIGHT(AI$1,4))</f>
        <v>2</v>
      </c>
      <c r="AJ44" s="37">
        <f>COUNTIFS('Dietary Detail'!$R:$R,$A44,'Dietary Detail'!$T:$T,"&lt;"&amp;AA44,'Dietary Detail'!$U:$U,RIGHT(AJ$1,4))</f>
        <v>2</v>
      </c>
      <c r="AK44" s="37">
        <f>COUNTIFS('Dietary Detail'!$R:$R,$A44,'Dietary Detail'!$T:$T,"&lt;"&amp;$BH$3,'Dietary Detail'!$U:$U,RIGHT(AK$1,4))</f>
        <v>4</v>
      </c>
      <c r="AL44" s="37">
        <f>COUNTIFS('Dietary Detail'!$R:$R,$A44,'Dietary Detail'!$T:$T,"&lt;"&amp;$BH$4,'Dietary Detail'!$U:$U,RIGHT(AL$1,4))</f>
        <v>2</v>
      </c>
      <c r="AM44" s="37">
        <f>COUNTIFS('Dietary Detail'!$R:$R,$A44,'Dietary Detail'!$T:$T,"&lt;"&amp;$BH$5,'Dietary Detail'!$U:$U,RIGHT(AM$1,4))</f>
        <v>2</v>
      </c>
      <c r="AN44" s="12">
        <f>+Dietary_Sample[[#This Row],[Aide median]]*Dietary_Sample[[#This Row],[Aide Hours]]</f>
        <v>327119.63307692303</v>
      </c>
      <c r="AO44" s="12">
        <f>+Dietary_Sample[[#This Row],[Aide average]]*Dietary_Sample[[#This Row],[Aide Hours]]</f>
        <v>333647.07461538451</v>
      </c>
      <c r="AP44" s="12">
        <f>+Dietary_Sample[[#This Row],[Cook median]]*Dietary_Sample[[#This Row],[Cook Hours]]</f>
        <v>77782.306153846148</v>
      </c>
      <c r="AQ44" s="12">
        <f>+Dietary_Sample[[#This Row],[Cook average]]*Dietary_Sample[[#This Row],[Cook Hours]]</f>
        <v>78484.279615384628</v>
      </c>
      <c r="AR44" s="12">
        <f>+Dietary_Sample[[#This Row],[Est average Aide wage cost]]+Dietary_Sample[[#This Row],[Est average Cook wage cost]]</f>
        <v>412131.35423076915</v>
      </c>
      <c r="AS44" s="12">
        <f>+Dietary_Sample[[#This Row],[Est average Aide wage cost]]+Dietary_Sample[[#This Row],[Est average Cook wage cost]]</f>
        <v>412131.35423076915</v>
      </c>
      <c r="AT44" s="14">
        <f>IF(Dietary_Sample[[#This Row],[Aide cost estimator]]=0,0,Dietary_Sample[[#This Row],[Est median Aide wage cost ]]/Dietary_Sample[[#This Row],[Aide cost estimator]])</f>
        <v>0.95669253724507219</v>
      </c>
      <c r="AU44" s="14">
        <f>IF(Dietary_Sample[[#This Row],[Aide cost estimator]]=0,0,Dietary_Sample[[#This Row],[Est average Aide wage cost]]/Dietary_Sample[[#This Row],[Aide cost estimator]])</f>
        <v>0.97578266200588448</v>
      </c>
      <c r="AV44" s="14">
        <f>IF(Dietary_Sample[[#This Row],[Cook cost estimator]]=0,0,Dietary_Sample[[#This Row],[Est median Cook wage cost]]/Dietary_Sample[[#This Row],[Cook cost estimator]])</f>
        <v>0.95669253724507231</v>
      </c>
      <c r="AW44" s="14">
        <f>IF(Dietary_Sample[[#This Row],[Cook cost estimator]]=0,0,Dietary_Sample[[#This Row],[Est average Cook wage cost]]/Dietary_Sample[[#This Row],[Cook cost estimator]])</f>
        <v>0.96532654162480414</v>
      </c>
      <c r="AX44" s="14">
        <f>IF(Dietary_Sample[[#This Row],[Aide median]]=0,0,Dietary_Sample[[#This Row],[Aide min]]/Dietary_Sample[[#This Row],[Aide median]])</f>
        <v>1</v>
      </c>
      <c r="AY44" s="14">
        <f>IF(Dietary_Sample[[#This Row],[Aide median]]=0,0,Dietary_Sample[[#This Row],[Aide max]]/Dietary_Sample[[#This Row],[Aide median]])</f>
        <v>1.2317596566523605</v>
      </c>
      <c r="AZ44" s="14">
        <f>IF(Dietary_Sample[[#This Row],[Cook median]]=0,0,Dietary_Sample[[#This Row],[Cook min]]/Dietary_Sample[[#This Row],[Cook median]])</f>
        <v>0.89498359118612292</v>
      </c>
      <c r="BA44" s="14">
        <f>IF(Dietary_Sample[[#This Row],[Cook median]]=0,0,Dietary_Sample[[#This Row],[Cook max]]/Dietary_Sample[[#This Row],[Cook median]])</f>
        <v>1.1411157993436476</v>
      </c>
      <c r="BB44" s="12">
        <f>VLOOKUP(A44,Summary!$1:$1048576,2,FALSE)</f>
        <v>3</v>
      </c>
    </row>
    <row r="45" spans="1:54" x14ac:dyDescent="0.55000000000000004">
      <c r="A45" s="10">
        <v>543</v>
      </c>
      <c r="B45" s="10" t="s">
        <v>54</v>
      </c>
      <c r="C45" s="10">
        <f>VLOOKUP($A45,'SAS Data'!$1:$1048576,MATCH(C$1,'SAS Data'!$3:$3,0),FALSE)</f>
        <v>2</v>
      </c>
      <c r="D45" s="10">
        <f>VLOOKUP($A45,'SAS Data'!$1:$1048576,MATCH(D$1,'SAS Data'!$3:$3,0),FALSE)</f>
        <v>8</v>
      </c>
      <c r="E45" s="10">
        <f t="shared" si="1"/>
        <v>10</v>
      </c>
      <c r="F45" s="11">
        <f>VLOOKUP($A45,'SAS Data'!$1:$1048576,MATCH(F$1,'SAS Data'!$3:$3,0),FALSE)</f>
        <v>19.917888074616922</v>
      </c>
      <c r="G45" s="12">
        <f>+Dietary_Sample[[#This Row],[Diet Cph]]*Dietary_Sample[[#This Row],[Diet Hrsn]]</f>
        <v>239174</v>
      </c>
      <c r="H4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106334.71915315909</v>
      </c>
      <c r="I45" s="17">
        <f>+Dietary_Sample[[#This Row],[Employee count Sample Data Aide]]/Dietary_Sample[[#This Row],[Total aide &amp; Cook]]*Dietary_Sample[[#This Row],[Diet Hrsn]]</f>
        <v>6004</v>
      </c>
      <c r="J45" s="13">
        <f>IF(Dietary_Sample[[#This Row],[Aide Hours]]=0,0,Dietary_Sample[[#This Row],[Aide cost estimator]]/Dietary_Sample[[#This Row],[Aide Hours]])</f>
        <v>17.710646094796651</v>
      </c>
      <c r="K4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132839.28084684088</v>
      </c>
      <c r="L45" s="17">
        <f>+Dietary_Sample[[#This Row],[Employee count Sample Data Cook]]/Dietary_Sample[[#This Row],[Total aide &amp; Cook]]*Dietary_Sample[[#This Row],[Diet Hrsn]]</f>
        <v>6004</v>
      </c>
      <c r="M45" s="13">
        <f>IF(Dietary_Sample[[#This Row],[Cook Hours]]=0,0,Dietary_Sample[[#This Row],[Cook cost estimator]]/Dietary_Sample[[#This Row],[Cook Hours]])</f>
        <v>22.125130054437189</v>
      </c>
      <c r="N45" s="12">
        <f>VLOOKUP(A45,'Estimator data 120523'!$A:$F,5,FALSE)</f>
        <v>239174</v>
      </c>
      <c r="O45" s="12">
        <f>VLOOKUP($A45,'SAS Data'!$1:$1048576,MATCH(O$1,'SAS Data'!$3:$3,0),FALSE)</f>
        <v>12008</v>
      </c>
      <c r="P45" s="13">
        <f>+Dietary_Sample[[#This Row],[Cost Estimator]]/Dietary_Sample[[#This Row],[Diet Hrsn]]</f>
        <v>19.917888074616922</v>
      </c>
      <c r="Q45" s="10">
        <f>COUNTIFS('Dietary Detail'!$R:$R,$A45,'Dietary Detail'!$U:$U,RIGHT(Q$1,4))</f>
        <v>5</v>
      </c>
      <c r="R45" s="10">
        <f>COUNTIFS('Dietary Detail'!$R:$R,$A45,'Dietary Detail'!$U:$U,RIGHT(R$1,4))</f>
        <v>5</v>
      </c>
      <c r="S45" s="10">
        <f>+Dietary_Sample[[#This Row],[Employee count Sample Data Aide]]+Dietary_Sample[[#This Row],[Employee count Sample Data Cook]]</f>
        <v>10</v>
      </c>
      <c r="T45" s="13">
        <v>13.23</v>
      </c>
      <c r="U45" s="13">
        <v>16.54</v>
      </c>
      <c r="V45" s="13">
        <v>13.44</v>
      </c>
      <c r="W45" s="13">
        <v>14.606</v>
      </c>
      <c r="X45" s="13">
        <v>16</v>
      </c>
      <c r="Y45" s="13">
        <v>18.350000000000001</v>
      </c>
      <c r="Z45" s="13">
        <v>16.79</v>
      </c>
      <c r="AA45" s="13">
        <v>17.010000000000002</v>
      </c>
      <c r="AB45" s="13">
        <f>IF(AND(Dietary_Sample[[#This Row],[Aide median]]=0,Dietary_Sample[[#This Row],[Cook median]]=0),0,IF(Dietary_Sample[[#This Row],[Aide median]]=0,1,Dietary_Sample[[#This Row],[Cook median]]/Dietary_Sample[[#This Row],[Aide median]]))</f>
        <v>1.2492559523809523</v>
      </c>
      <c r="AC45" s="13">
        <f>IF(AND(Dietary_Sample[[#This Row],[Aide average]]=0,Dietary_Sample[[#This Row],[Cook average]]=0),0,IF(Dietary_Sample[[#This Row],[Aide average]]=0,1,Dietary_Sample[[#This Row],[Cook average]]/Dietary_Sample[[#This Row],[Aide average]]))</f>
        <v>1.164589894563878</v>
      </c>
      <c r="AD45" s="37">
        <f>COUNTIFS('Dietary Detail'!$R:$R,$A45,'Dietary Detail'!$T:$T,"&lt;"&amp;V45,'Dietary Detail'!$U:$U,RIGHT(AD$1,4))</f>
        <v>1</v>
      </c>
      <c r="AE45" s="37">
        <f>COUNTIFS('Dietary Detail'!$R:$R,$A45,'Dietary Detail'!$T:$T,"&lt;"&amp;W45,'Dietary Detail'!$U:$U,RIGHT(AE$1,4))</f>
        <v>3</v>
      </c>
      <c r="AF45" s="37">
        <f>COUNTIFS('Dietary Detail'!$R:$R,$A45,'Dietary Detail'!$T:$T,"&lt;"&amp;$BG$3,'Dietary Detail'!$U:$U,RIGHT(AF$1,4))</f>
        <v>5</v>
      </c>
      <c r="AG45" s="37">
        <f>COUNTIFS('Dietary Detail'!$R:$R,$A45,'Dietary Detail'!$T:$T,"&lt;"&amp;$BG$4,'Dietary Detail'!$U:$U,RIGHT(AG$1,4))</f>
        <v>3</v>
      </c>
      <c r="AH45" s="37">
        <f>COUNTIFS('Dietary Detail'!$R:$R,$A45,'Dietary Detail'!$T:$T,"&lt;"&amp;$BG$5,'Dietary Detail'!$U:$U,RIGHT(AH$1,4))</f>
        <v>5</v>
      </c>
      <c r="AI45" s="37">
        <f>COUNTIFS('Dietary Detail'!$R:$R,$A45,'Dietary Detail'!$T:$T,"&lt;"&amp;Z45,'Dietary Detail'!$U:$U,RIGHT(AI$1,4))</f>
        <v>2</v>
      </c>
      <c r="AJ45" s="37">
        <f>COUNTIFS('Dietary Detail'!$R:$R,$A45,'Dietary Detail'!$T:$T,"&lt;"&amp;AA45,'Dietary Detail'!$U:$U,RIGHT(AJ$1,4))</f>
        <v>3</v>
      </c>
      <c r="AK45" s="37">
        <f>COUNTIFS('Dietary Detail'!$R:$R,$A45,'Dietary Detail'!$T:$T,"&lt;"&amp;$BH$3,'Dietary Detail'!$U:$U,RIGHT(AK$1,4))</f>
        <v>5</v>
      </c>
      <c r="AL45" s="37">
        <f>COUNTIFS('Dietary Detail'!$R:$R,$A45,'Dietary Detail'!$T:$T,"&lt;"&amp;$BH$4,'Dietary Detail'!$U:$U,RIGHT(AL$1,4))</f>
        <v>5</v>
      </c>
      <c r="AM45" s="37">
        <f>COUNTIFS('Dietary Detail'!$R:$R,$A45,'Dietary Detail'!$T:$T,"&lt;"&amp;$BH$5,'Dietary Detail'!$U:$U,RIGHT(AM$1,4))</f>
        <v>5</v>
      </c>
      <c r="AN45" s="12">
        <f>+Dietary_Sample[[#This Row],[Aide median]]*Dietary_Sample[[#This Row],[Aide Hours]]</f>
        <v>80693.759999999995</v>
      </c>
      <c r="AO45" s="12">
        <f>+Dietary_Sample[[#This Row],[Aide average]]*Dietary_Sample[[#This Row],[Aide Hours]]</f>
        <v>87694.423999999999</v>
      </c>
      <c r="AP45" s="12">
        <f>+Dietary_Sample[[#This Row],[Cook median]]*Dietary_Sample[[#This Row],[Cook Hours]]</f>
        <v>100807.15999999999</v>
      </c>
      <c r="AQ45" s="12">
        <f>+Dietary_Sample[[#This Row],[Cook average]]*Dietary_Sample[[#This Row],[Cook Hours]]</f>
        <v>102128.04000000001</v>
      </c>
      <c r="AR45" s="12">
        <f>+Dietary_Sample[[#This Row],[Est average Aide wage cost]]+Dietary_Sample[[#This Row],[Est average Cook wage cost]]</f>
        <v>189822.46400000001</v>
      </c>
      <c r="AS45" s="12">
        <f>+Dietary_Sample[[#This Row],[Est average Aide wage cost]]+Dietary_Sample[[#This Row],[Est average Cook wage cost]]</f>
        <v>189822.46400000001</v>
      </c>
      <c r="AT45" s="14">
        <f>IF(Dietary_Sample[[#This Row],[Aide cost estimator]]=0,0,Dietary_Sample[[#This Row],[Est median Aide wage cost ]]/Dietary_Sample[[#This Row],[Aide cost estimator]])</f>
        <v>0.75886559575873636</v>
      </c>
      <c r="AU45" s="14">
        <f>IF(Dietary_Sample[[#This Row],[Aide cost estimator]]=0,0,Dietary_Sample[[#This Row],[Est average Aide wage cost]]/Dietary_Sample[[#This Row],[Aide cost estimator]])</f>
        <v>0.82470170324792447</v>
      </c>
      <c r="AV45" s="14">
        <f>IF(Dietary_Sample[[#This Row],[Cook cost estimator]]=0,0,Dietary_Sample[[#This Row],[Est median Cook wage cost]]/Dietary_Sample[[#This Row],[Cook cost estimator]])</f>
        <v>0.75886559575873624</v>
      </c>
      <c r="AW45" s="14">
        <f>IF(Dietary_Sample[[#This Row],[Cook cost estimator]]=0,0,Dietary_Sample[[#This Row],[Est average Cook wage cost]]/Dietary_Sample[[#This Row],[Cook cost estimator]])</f>
        <v>0.76880904013437201</v>
      </c>
      <c r="AX45" s="14">
        <f>IF(Dietary_Sample[[#This Row],[Aide median]]=0,0,Dietary_Sample[[#This Row],[Aide min]]/Dietary_Sample[[#This Row],[Aide median]])</f>
        <v>0.98437500000000011</v>
      </c>
      <c r="AY45" s="14">
        <f>IF(Dietary_Sample[[#This Row],[Aide median]]=0,0,Dietary_Sample[[#This Row],[Aide max]]/Dietary_Sample[[#This Row],[Aide median]])</f>
        <v>1.2306547619047619</v>
      </c>
      <c r="AZ45" s="14">
        <f>IF(Dietary_Sample[[#This Row],[Cook median]]=0,0,Dietary_Sample[[#This Row],[Cook min]]/Dietary_Sample[[#This Row],[Cook median]])</f>
        <v>0.95294818344252541</v>
      </c>
      <c r="BA45" s="14">
        <f>IF(Dietary_Sample[[#This Row],[Cook median]]=0,0,Dietary_Sample[[#This Row],[Cook max]]/Dietary_Sample[[#This Row],[Cook median]])</f>
        <v>1.0929124478856465</v>
      </c>
      <c r="BB45" s="12">
        <f>VLOOKUP(A45,Summary!$1:$1048576,2,FALSE)</f>
        <v>1</v>
      </c>
    </row>
    <row r="46" spans="1:54" x14ac:dyDescent="0.55000000000000004">
      <c r="A46" s="10">
        <v>550</v>
      </c>
      <c r="B46" s="10" t="s">
        <v>54</v>
      </c>
      <c r="C46" s="10">
        <f>VLOOKUP($A46,'SAS Data'!$1:$1048576,MATCH(C$1,'SAS Data'!$3:$3,0),FALSE)</f>
        <v>6</v>
      </c>
      <c r="D46" s="10">
        <f>VLOOKUP($A46,'SAS Data'!$1:$1048576,MATCH(D$1,'SAS Data'!$3:$3,0),FALSE)</f>
        <v>6</v>
      </c>
      <c r="E46" s="10">
        <f t="shared" si="1"/>
        <v>12</v>
      </c>
      <c r="F46" s="11">
        <f>VLOOKUP($A46,'SAS Data'!$1:$1048576,MATCH(F$1,'SAS Data'!$3:$3,0),FALSE)</f>
        <v>20.804798041615669</v>
      </c>
      <c r="G46" s="12">
        <f>+Dietary_Sample[[#This Row],[Diet Cph]]*Dietary_Sample[[#This Row],[Diet Hrsn]]</f>
        <v>424938.00000000006</v>
      </c>
      <c r="H4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308873.28736915562</v>
      </c>
      <c r="I46" s="17">
        <f>+Dietary_Sample[[#This Row],[Employee count Sample Data Aide]]/Dietary_Sample[[#This Row],[Total aide &amp; Cook]]*Dietary_Sample[[#This Row],[Diet Hrsn]]</f>
        <v>15318.75</v>
      </c>
      <c r="J46" s="13">
        <f>IF(Dietary_Sample[[#This Row],[Aide Hours]]=0,0,Dietary_Sample[[#This Row],[Aide cost estimator]]/Dietary_Sample[[#This Row],[Aide Hours]])</f>
        <v>20.163086894763321</v>
      </c>
      <c r="K4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116064.71263084441</v>
      </c>
      <c r="L46" s="17">
        <f>+Dietary_Sample[[#This Row],[Employee count Sample Data Cook]]/Dietary_Sample[[#This Row],[Total aide &amp; Cook]]*Dietary_Sample[[#This Row],[Diet Hrsn]]</f>
        <v>5106.25</v>
      </c>
      <c r="M46" s="13">
        <f>IF(Dietary_Sample[[#This Row],[Cook Hours]]=0,0,Dietary_Sample[[#This Row],[Cook cost estimator]]/Dietary_Sample[[#This Row],[Cook Hours]])</f>
        <v>22.729931482172713</v>
      </c>
      <c r="N46" s="12">
        <f>VLOOKUP(A46,'Estimator data 120523'!$A:$F,5,FALSE)</f>
        <v>424938</v>
      </c>
      <c r="O46" s="12">
        <f>VLOOKUP($A46,'SAS Data'!$1:$1048576,MATCH(O$1,'SAS Data'!$3:$3,0),FALSE)</f>
        <v>20425</v>
      </c>
      <c r="P46" s="13">
        <f>+Dietary_Sample[[#This Row],[Cost Estimator]]/Dietary_Sample[[#This Row],[Diet Hrsn]]</f>
        <v>20.804798041615665</v>
      </c>
      <c r="Q46" s="10">
        <f>COUNTIFS('Dietary Detail'!$R:$R,$A46,'Dietary Detail'!$U:$U,RIGHT(Q$1,4))</f>
        <v>9</v>
      </c>
      <c r="R46" s="10">
        <f>COUNTIFS('Dietary Detail'!$R:$R,$A46,'Dietary Detail'!$U:$U,RIGHT(R$1,4))</f>
        <v>3</v>
      </c>
      <c r="S46" s="10">
        <f>+Dietary_Sample[[#This Row],[Employee count Sample Data Aide]]+Dietary_Sample[[#This Row],[Employee count Sample Data Cook]]</f>
        <v>12</v>
      </c>
      <c r="T46" s="13">
        <v>17.36</v>
      </c>
      <c r="U46" s="13">
        <v>19.04</v>
      </c>
      <c r="V46" s="13">
        <v>17.36</v>
      </c>
      <c r="W46" s="13">
        <v>17.679999999999996</v>
      </c>
      <c r="X46" s="13">
        <v>19.57</v>
      </c>
      <c r="Y46" s="13">
        <v>19.72</v>
      </c>
      <c r="Z46" s="13">
        <v>19.57</v>
      </c>
      <c r="AA46" s="13">
        <v>19.62</v>
      </c>
      <c r="AB46" s="13">
        <f>IF(AND(Dietary_Sample[[#This Row],[Aide median]]=0,Dietary_Sample[[#This Row],[Cook median]]=0),0,IF(Dietary_Sample[[#This Row],[Aide median]]=0,1,Dietary_Sample[[#This Row],[Cook median]]/Dietary_Sample[[#This Row],[Aide median]]))</f>
        <v>1.1273041474654379</v>
      </c>
      <c r="AC46" s="13">
        <f>IF(AND(Dietary_Sample[[#This Row],[Aide average]]=0,Dietary_Sample[[#This Row],[Cook average]]=0),0,IF(Dietary_Sample[[#This Row],[Aide average]]=0,1,Dietary_Sample[[#This Row],[Cook average]]/Dietary_Sample[[#This Row],[Aide average]]))</f>
        <v>1.1097285067873306</v>
      </c>
      <c r="AD46" s="37">
        <f>COUNTIFS('Dietary Detail'!$R:$R,$A46,'Dietary Detail'!$T:$T,"&lt;"&amp;V46,'Dietary Detail'!$U:$U,RIGHT(AD$1,4))</f>
        <v>0</v>
      </c>
      <c r="AE46" s="37">
        <f>COUNTIFS('Dietary Detail'!$R:$R,$A46,'Dietary Detail'!$T:$T,"&lt;"&amp;W46,'Dietary Detail'!$U:$U,RIGHT(AE$1,4))</f>
        <v>6</v>
      </c>
      <c r="AF46" s="37">
        <f>COUNTIFS('Dietary Detail'!$R:$R,$A46,'Dietary Detail'!$T:$T,"&lt;"&amp;$BG$3,'Dietary Detail'!$U:$U,RIGHT(AF$1,4))</f>
        <v>9</v>
      </c>
      <c r="AG46" s="37">
        <f>COUNTIFS('Dietary Detail'!$R:$R,$A46,'Dietary Detail'!$T:$T,"&lt;"&amp;$BG$4,'Dietary Detail'!$U:$U,RIGHT(AG$1,4))</f>
        <v>0</v>
      </c>
      <c r="AH46" s="37">
        <f>COUNTIFS('Dietary Detail'!$R:$R,$A46,'Dietary Detail'!$T:$T,"&lt;"&amp;$BG$5,'Dietary Detail'!$U:$U,RIGHT(AH$1,4))</f>
        <v>0</v>
      </c>
      <c r="AI46" s="37">
        <f>COUNTIFS('Dietary Detail'!$R:$R,$A46,'Dietary Detail'!$T:$T,"&lt;"&amp;Z46,'Dietary Detail'!$U:$U,RIGHT(AI$1,4))</f>
        <v>0</v>
      </c>
      <c r="AJ46" s="37">
        <f>COUNTIFS('Dietary Detail'!$R:$R,$A46,'Dietary Detail'!$T:$T,"&lt;"&amp;AA46,'Dietary Detail'!$U:$U,RIGHT(AJ$1,4))</f>
        <v>2</v>
      </c>
      <c r="AK46" s="37">
        <f>COUNTIFS('Dietary Detail'!$R:$R,$A46,'Dietary Detail'!$T:$T,"&lt;"&amp;$BH$3,'Dietary Detail'!$U:$U,RIGHT(AK$1,4))</f>
        <v>3</v>
      </c>
      <c r="AL46" s="37">
        <f>COUNTIFS('Dietary Detail'!$R:$R,$A46,'Dietary Detail'!$T:$T,"&lt;"&amp;$BH$4,'Dietary Detail'!$U:$U,RIGHT(AL$1,4))</f>
        <v>2</v>
      </c>
      <c r="AM46" s="37">
        <f>COUNTIFS('Dietary Detail'!$R:$R,$A46,'Dietary Detail'!$T:$T,"&lt;"&amp;$BH$5,'Dietary Detail'!$U:$U,RIGHT(AM$1,4))</f>
        <v>2</v>
      </c>
      <c r="AN46" s="12">
        <f>+Dietary_Sample[[#This Row],[Aide median]]*Dietary_Sample[[#This Row],[Aide Hours]]</f>
        <v>265933.5</v>
      </c>
      <c r="AO46" s="12">
        <f>+Dietary_Sample[[#This Row],[Aide average]]*Dietary_Sample[[#This Row],[Aide Hours]]</f>
        <v>270835.49999999994</v>
      </c>
      <c r="AP46" s="12">
        <f>+Dietary_Sample[[#This Row],[Cook median]]*Dietary_Sample[[#This Row],[Cook Hours]]</f>
        <v>99929.3125</v>
      </c>
      <c r="AQ46" s="12">
        <f>+Dietary_Sample[[#This Row],[Cook average]]*Dietary_Sample[[#This Row],[Cook Hours]]</f>
        <v>100184.625</v>
      </c>
      <c r="AR46" s="12">
        <f>+Dietary_Sample[[#This Row],[Est average Aide wage cost]]+Dietary_Sample[[#This Row],[Est average Cook wage cost]]</f>
        <v>371020.12499999994</v>
      </c>
      <c r="AS46" s="12">
        <f>+Dietary_Sample[[#This Row],[Est average Aide wage cost]]+Dietary_Sample[[#This Row],[Est average Cook wage cost]]</f>
        <v>371020.12499999994</v>
      </c>
      <c r="AT46" s="14">
        <f>IF(Dietary_Sample[[#This Row],[Aide cost estimator]]=0,0,Dietary_Sample[[#This Row],[Est median Aide wage cost ]]/Dietary_Sample[[#This Row],[Aide cost estimator]])</f>
        <v>0.86097927815351882</v>
      </c>
      <c r="AU46" s="14">
        <f>IF(Dietary_Sample[[#This Row],[Aide cost estimator]]=0,0,Dietary_Sample[[#This Row],[Est average Aide wage cost]]/Dietary_Sample[[#This Row],[Aide cost estimator]])</f>
        <v>0.87684986392593378</v>
      </c>
      <c r="AV46" s="14">
        <f>IF(Dietary_Sample[[#This Row],[Cook cost estimator]]=0,0,Dietary_Sample[[#This Row],[Est median Cook wage cost]]/Dietary_Sample[[#This Row],[Cook cost estimator]])</f>
        <v>0.8609792781535186</v>
      </c>
      <c r="AW46" s="14">
        <f>IF(Dietary_Sample[[#This Row],[Cook cost estimator]]=0,0,Dietary_Sample[[#This Row],[Est average Cook wage cost]]/Dietary_Sample[[#This Row],[Cook cost estimator]])</f>
        <v>0.86317902081614895</v>
      </c>
      <c r="AX46" s="14">
        <f>IF(Dietary_Sample[[#This Row],[Aide median]]=0,0,Dietary_Sample[[#This Row],[Aide min]]/Dietary_Sample[[#This Row],[Aide median]])</f>
        <v>1</v>
      </c>
      <c r="AY46" s="14">
        <f>IF(Dietary_Sample[[#This Row],[Aide median]]=0,0,Dietary_Sample[[#This Row],[Aide max]]/Dietary_Sample[[#This Row],[Aide median]])</f>
        <v>1.096774193548387</v>
      </c>
      <c r="AZ46" s="14">
        <f>IF(Dietary_Sample[[#This Row],[Cook median]]=0,0,Dietary_Sample[[#This Row],[Cook min]]/Dietary_Sample[[#This Row],[Cook median]])</f>
        <v>1</v>
      </c>
      <c r="BA46" s="14">
        <f>IF(Dietary_Sample[[#This Row],[Cook median]]=0,0,Dietary_Sample[[#This Row],[Cook max]]/Dietary_Sample[[#This Row],[Cook median]])</f>
        <v>1.0076647930505875</v>
      </c>
      <c r="BB46" s="12">
        <f>VLOOKUP(A46,Summary!$1:$1048576,2,FALSE)</f>
        <v>2</v>
      </c>
    </row>
    <row r="47" spans="1:54" x14ac:dyDescent="0.55000000000000004">
      <c r="A47" s="10">
        <v>555</v>
      </c>
      <c r="B47" s="10" t="s">
        <v>54</v>
      </c>
      <c r="C47" s="10">
        <f>VLOOKUP($A47,'SAS Data'!$1:$1048576,MATCH(C$1,'SAS Data'!$3:$3,0),FALSE)</f>
        <v>0</v>
      </c>
      <c r="D47" s="10">
        <f>VLOOKUP($A47,'SAS Data'!$1:$1048576,MATCH(D$1,'SAS Data'!$3:$3,0),FALSE)</f>
        <v>0</v>
      </c>
      <c r="E47" s="10">
        <f t="shared" si="1"/>
        <v>0</v>
      </c>
      <c r="F47" s="11">
        <f>VLOOKUP($A47,'SAS Data'!$1:$1048576,MATCH(F$1,'SAS Data'!$3:$3,0),FALSE)</f>
        <v>36.409712722298224</v>
      </c>
      <c r="G47" s="12">
        <f>+Dietary_Sample[[#This Row],[Diet Cph]]*Dietary_Sample[[#This Row],[Diet Hrsn]]</f>
        <v>53231</v>
      </c>
      <c r="H4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46260.650042878813</v>
      </c>
      <c r="I47" s="17">
        <f>+Dietary_Sample[[#This Row],[Employee count Sample Data Aide]]/Dietary_Sample[[#This Row],[Total aide &amp; Cook]]*Dietary_Sample[[#This Row],[Diet Hrsn]]</f>
        <v>1279.25</v>
      </c>
      <c r="J47" s="13">
        <f>IF(Dietary_Sample[[#This Row],[Aide Hours]]=0,0,Dietary_Sample[[#This Row],[Aide cost estimator]]/Dietary_Sample[[#This Row],[Aide Hours]])</f>
        <v>36.162321706373902</v>
      </c>
      <c r="K4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6970.3499571211823</v>
      </c>
      <c r="L47" s="17">
        <f>+Dietary_Sample[[#This Row],[Employee count Sample Data Cook]]/Dietary_Sample[[#This Row],[Total aide &amp; Cook]]*Dietary_Sample[[#This Row],[Diet Hrsn]]</f>
        <v>182.75</v>
      </c>
      <c r="M47" s="13">
        <f>IF(Dietary_Sample[[#This Row],[Cook Hours]]=0,0,Dietary_Sample[[#This Row],[Cook cost estimator]]/Dietary_Sample[[#This Row],[Cook Hours]])</f>
        <v>38.141449833768441</v>
      </c>
      <c r="N47" s="12">
        <f>VLOOKUP(A47,'Estimator data 120523'!$A:$F,5,FALSE)</f>
        <v>53231</v>
      </c>
      <c r="O47" s="12">
        <f>VLOOKUP($A47,'SAS Data'!$1:$1048576,MATCH(O$1,'SAS Data'!$3:$3,0),FALSE)</f>
        <v>1462</v>
      </c>
      <c r="P47" s="13">
        <f>+Dietary_Sample[[#This Row],[Cost Estimator]]/Dietary_Sample[[#This Row],[Diet Hrsn]]</f>
        <v>36.409712722298224</v>
      </c>
      <c r="Q47" s="10">
        <f>COUNTIFS('Dietary Detail'!$R:$R,$A47,'Dietary Detail'!$U:$U,RIGHT(Q$1,4))</f>
        <v>21</v>
      </c>
      <c r="R47" s="10">
        <f>COUNTIFS('Dietary Detail'!$R:$R,$A47,'Dietary Detail'!$U:$U,RIGHT(R$1,4))</f>
        <v>3</v>
      </c>
      <c r="S47" s="10">
        <f>+Dietary_Sample[[#This Row],[Employee count Sample Data Aide]]+Dietary_Sample[[#This Row],[Employee count Sample Data Cook]]</f>
        <v>24</v>
      </c>
      <c r="T47" s="13">
        <v>17</v>
      </c>
      <c r="U47" s="13">
        <v>20.5</v>
      </c>
      <c r="V47" s="13">
        <v>18.82</v>
      </c>
      <c r="W47" s="13">
        <v>18.917619047619048</v>
      </c>
      <c r="X47" s="13">
        <v>19.68</v>
      </c>
      <c r="Y47" s="13">
        <v>21.25</v>
      </c>
      <c r="Z47" s="13">
        <v>19.850000000000001</v>
      </c>
      <c r="AA47" s="13">
        <v>20.260000000000002</v>
      </c>
      <c r="AB47" s="13">
        <f>IF(AND(Dietary_Sample[[#This Row],[Aide median]]=0,Dietary_Sample[[#This Row],[Cook median]]=0),0,IF(Dietary_Sample[[#This Row],[Aide median]]=0,1,Dietary_Sample[[#This Row],[Cook median]]/Dietary_Sample[[#This Row],[Aide median]]))</f>
        <v>1.0547290116896919</v>
      </c>
      <c r="AC47" s="13">
        <f>IF(AND(Dietary_Sample[[#This Row],[Aide average]]=0,Dietary_Sample[[#This Row],[Cook average]]=0),0,IF(Dietary_Sample[[#This Row],[Aide average]]=0,1,Dietary_Sample[[#This Row],[Cook average]]/Dietary_Sample[[#This Row],[Aide average]]))</f>
        <v>1.0709592972034134</v>
      </c>
      <c r="AD47" s="37">
        <f>COUNTIFS('Dietary Detail'!$R:$R,$A47,'Dietary Detail'!$T:$T,"&lt;"&amp;V47,'Dietary Detail'!$U:$U,RIGHT(AD$1,4))</f>
        <v>8</v>
      </c>
      <c r="AE47" s="37">
        <f>COUNTIFS('Dietary Detail'!$R:$R,$A47,'Dietary Detail'!$T:$T,"&lt;"&amp;W47,'Dietary Detail'!$U:$U,RIGHT(AE$1,4))</f>
        <v>11</v>
      </c>
      <c r="AF47" s="37">
        <f>COUNTIFS('Dietary Detail'!$R:$R,$A47,'Dietary Detail'!$T:$T,"&lt;"&amp;$BG$3,'Dietary Detail'!$U:$U,RIGHT(AF$1,4))</f>
        <v>21</v>
      </c>
      <c r="AG47" s="37">
        <f>COUNTIFS('Dietary Detail'!$R:$R,$A47,'Dietary Detail'!$T:$T,"&lt;"&amp;$BG$4,'Dietary Detail'!$U:$U,RIGHT(AG$1,4))</f>
        <v>0</v>
      </c>
      <c r="AH47" s="37">
        <f>COUNTIFS('Dietary Detail'!$R:$R,$A47,'Dietary Detail'!$T:$T,"&lt;"&amp;$BG$5,'Dietary Detail'!$U:$U,RIGHT(AH$1,4))</f>
        <v>0</v>
      </c>
      <c r="AI47" s="37">
        <f>COUNTIFS('Dietary Detail'!$R:$R,$A47,'Dietary Detail'!$T:$T,"&lt;"&amp;Z47,'Dietary Detail'!$U:$U,RIGHT(AI$1,4))</f>
        <v>1</v>
      </c>
      <c r="AJ47" s="37">
        <f>COUNTIFS('Dietary Detail'!$R:$R,$A47,'Dietary Detail'!$T:$T,"&lt;"&amp;AA47,'Dietary Detail'!$U:$U,RIGHT(AJ$1,4))</f>
        <v>2</v>
      </c>
      <c r="AK47" s="37">
        <f>COUNTIFS('Dietary Detail'!$R:$R,$A47,'Dietary Detail'!$T:$T,"&lt;"&amp;$BH$3,'Dietary Detail'!$U:$U,RIGHT(AK$1,4))</f>
        <v>3</v>
      </c>
      <c r="AL47" s="37">
        <f>COUNTIFS('Dietary Detail'!$R:$R,$A47,'Dietary Detail'!$T:$T,"&lt;"&amp;$BH$4,'Dietary Detail'!$U:$U,RIGHT(AL$1,4))</f>
        <v>1</v>
      </c>
      <c r="AM47" s="37">
        <f>COUNTIFS('Dietary Detail'!$R:$R,$A47,'Dietary Detail'!$T:$T,"&lt;"&amp;$BH$5,'Dietary Detail'!$U:$U,RIGHT(AM$1,4))</f>
        <v>1</v>
      </c>
      <c r="AN47" s="12">
        <f>+Dietary_Sample[[#This Row],[Aide median]]*Dietary_Sample[[#This Row],[Aide Hours]]</f>
        <v>24075.485000000001</v>
      </c>
      <c r="AO47" s="12">
        <f>+Dietary_Sample[[#This Row],[Aide average]]*Dietary_Sample[[#This Row],[Aide Hours]]</f>
        <v>24200.364166666666</v>
      </c>
      <c r="AP47" s="12">
        <f>+Dietary_Sample[[#This Row],[Cook median]]*Dietary_Sample[[#This Row],[Cook Hours]]</f>
        <v>3627.5875000000001</v>
      </c>
      <c r="AQ47" s="12">
        <f>+Dietary_Sample[[#This Row],[Cook average]]*Dietary_Sample[[#This Row],[Cook Hours]]</f>
        <v>3702.5150000000003</v>
      </c>
      <c r="AR47" s="12">
        <f>+Dietary_Sample[[#This Row],[Est average Aide wage cost]]+Dietary_Sample[[#This Row],[Est average Cook wage cost]]</f>
        <v>27902.879166666666</v>
      </c>
      <c r="AS47" s="12">
        <f>+Dietary_Sample[[#This Row],[Est average Aide wage cost]]+Dietary_Sample[[#This Row],[Est average Cook wage cost]]</f>
        <v>27902.879166666666</v>
      </c>
      <c r="AT47" s="14">
        <f>IF(Dietary_Sample[[#This Row],[Aide cost estimator]]=0,0,Dietary_Sample[[#This Row],[Est median Aide wage cost ]]/Dietary_Sample[[#This Row],[Aide cost estimator]])</f>
        <v>0.5204311867145085</v>
      </c>
      <c r="AU47" s="14">
        <f>IF(Dietary_Sample[[#This Row],[Aide cost estimator]]=0,0,Dietary_Sample[[#This Row],[Est average Aide wage cost]]/Dietary_Sample[[#This Row],[Aide cost estimator]])</f>
        <v>0.52313065519475932</v>
      </c>
      <c r="AV47" s="14">
        <f>IF(Dietary_Sample[[#This Row],[Cook cost estimator]]=0,0,Dietary_Sample[[#This Row],[Est median Cook wage cost]]/Dietary_Sample[[#This Row],[Cook cost estimator]])</f>
        <v>0.5204311867145085</v>
      </c>
      <c r="AW47" s="14">
        <f>IF(Dietary_Sample[[#This Row],[Cook cost estimator]]=0,0,Dietary_Sample[[#This Row],[Est average Cook wage cost]]/Dietary_Sample[[#This Row],[Cook cost estimator]])</f>
        <v>0.53118064699425405</v>
      </c>
      <c r="AX47" s="14">
        <f>IF(Dietary_Sample[[#This Row],[Aide median]]=0,0,Dietary_Sample[[#This Row],[Aide min]]/Dietary_Sample[[#This Row],[Aide median]])</f>
        <v>0.90329436769394256</v>
      </c>
      <c r="AY47" s="14">
        <f>IF(Dietary_Sample[[#This Row],[Aide median]]=0,0,Dietary_Sample[[#This Row],[Aide max]]/Dietary_Sample[[#This Row],[Aide median]])</f>
        <v>1.0892667375132836</v>
      </c>
      <c r="AZ47" s="14">
        <f>IF(Dietary_Sample[[#This Row],[Cook median]]=0,0,Dietary_Sample[[#This Row],[Cook min]]/Dietary_Sample[[#This Row],[Cook median]])</f>
        <v>0.99143576826196467</v>
      </c>
      <c r="BA47" s="14">
        <f>IF(Dietary_Sample[[#This Row],[Cook median]]=0,0,Dietary_Sample[[#This Row],[Cook max]]/Dietary_Sample[[#This Row],[Cook median]])</f>
        <v>1.070528967254408</v>
      </c>
      <c r="BB47" s="12">
        <f>VLOOKUP(A47,Summary!$1:$1048576,2,FALSE)</f>
        <v>1</v>
      </c>
    </row>
    <row r="48" spans="1:54" x14ac:dyDescent="0.55000000000000004">
      <c r="A48" s="10">
        <v>558</v>
      </c>
      <c r="B48" s="10" t="s">
        <v>54</v>
      </c>
      <c r="C48" s="10">
        <f>VLOOKUP($A48,'SAS Data'!$1:$1048576,MATCH(C$1,'SAS Data'!$3:$3,0),FALSE)</f>
        <v>7</v>
      </c>
      <c r="D48" s="10">
        <f>VLOOKUP($A48,'SAS Data'!$1:$1048576,MATCH(D$1,'SAS Data'!$3:$3,0),FALSE)</f>
        <v>16</v>
      </c>
      <c r="E48" s="10">
        <f t="shared" si="1"/>
        <v>23</v>
      </c>
      <c r="F48" s="11">
        <f>VLOOKUP($A48,'SAS Data'!$1:$1048576,MATCH(F$1,'SAS Data'!$3:$3,0),FALSE)</f>
        <v>22.840741761486672</v>
      </c>
      <c r="G48" s="12">
        <f>+Dietary_Sample[[#This Row],[Diet Cph]]*Dietary_Sample[[#This Row],[Diet Hrsn]]</f>
        <v>580132</v>
      </c>
      <c r="H4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436805.27058823529</v>
      </c>
      <c r="I48" s="17">
        <f>+Dietary_Sample[[#This Row],[Employee count Sample Data Aide]]/Dietary_Sample[[#This Row],[Total aide &amp; Cook]]*Dietary_Sample[[#This Row],[Diet Hrsn]]</f>
        <v>20319.2</v>
      </c>
      <c r="J48" s="13">
        <f>IF(Dietary_Sample[[#This Row],[Aide Hours]]=0,0,Dietary_Sample[[#This Row],[Aide cost estimator]]/Dietary_Sample[[#This Row],[Aide Hours]])</f>
        <v>21.497168716693338</v>
      </c>
      <c r="K4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143326.72941176471</v>
      </c>
      <c r="L48" s="17">
        <f>+Dietary_Sample[[#This Row],[Employee count Sample Data Cook]]/Dietary_Sample[[#This Row],[Total aide &amp; Cook]]*Dietary_Sample[[#This Row],[Diet Hrsn]]</f>
        <v>5079.8</v>
      </c>
      <c r="M48" s="13">
        <f>IF(Dietary_Sample[[#This Row],[Cook Hours]]=0,0,Dietary_Sample[[#This Row],[Cook cost estimator]]/Dietary_Sample[[#This Row],[Cook Hours]])</f>
        <v>28.215033940660007</v>
      </c>
      <c r="N48" s="12">
        <f>VLOOKUP(A48,'Estimator data 120523'!$A:$F,5,FALSE)</f>
        <v>580132</v>
      </c>
      <c r="O48" s="12">
        <f>VLOOKUP($A48,'SAS Data'!$1:$1048576,MATCH(O$1,'SAS Data'!$3:$3,0),FALSE)</f>
        <v>25399</v>
      </c>
      <c r="P48" s="13">
        <f>+Dietary_Sample[[#This Row],[Cost Estimator]]/Dietary_Sample[[#This Row],[Diet Hrsn]]</f>
        <v>22.840741761486672</v>
      </c>
      <c r="Q48" s="10">
        <f>COUNTIFS('Dietary Detail'!$R:$R,$A48,'Dietary Detail'!$U:$U,RIGHT(Q$1,4))</f>
        <v>16</v>
      </c>
      <c r="R48" s="10">
        <f>COUNTIFS('Dietary Detail'!$R:$R,$A48,'Dietary Detail'!$U:$U,RIGHT(R$1,4))</f>
        <v>4</v>
      </c>
      <c r="S48" s="10">
        <f>+Dietary_Sample[[#This Row],[Employee count Sample Data Aide]]+Dietary_Sample[[#This Row],[Employee count Sample Data Cook]]</f>
        <v>20</v>
      </c>
      <c r="T48" s="13">
        <v>16</v>
      </c>
      <c r="U48" s="13">
        <v>20</v>
      </c>
      <c r="V48" s="13">
        <v>16</v>
      </c>
      <c r="W48" s="13">
        <v>16.856249999999999</v>
      </c>
      <c r="X48" s="13">
        <v>21</v>
      </c>
      <c r="Y48" s="13">
        <v>26</v>
      </c>
      <c r="Z48" s="13">
        <v>21</v>
      </c>
      <c r="AA48" s="13">
        <v>22.25</v>
      </c>
      <c r="AB48" s="13">
        <f>IF(AND(Dietary_Sample[[#This Row],[Aide median]]=0,Dietary_Sample[[#This Row],[Cook median]]=0),0,IF(Dietary_Sample[[#This Row],[Aide median]]=0,1,Dietary_Sample[[#This Row],[Cook median]]/Dietary_Sample[[#This Row],[Aide median]]))</f>
        <v>1.3125</v>
      </c>
      <c r="AC48" s="13">
        <f>IF(AND(Dietary_Sample[[#This Row],[Aide average]]=0,Dietary_Sample[[#This Row],[Cook average]]=0),0,IF(Dietary_Sample[[#This Row],[Aide average]]=0,1,Dietary_Sample[[#This Row],[Cook average]]/Dietary_Sample[[#This Row],[Aide average]]))</f>
        <v>1.3199851687059696</v>
      </c>
      <c r="AD48" s="37">
        <f>COUNTIFS('Dietary Detail'!$R:$R,$A48,'Dietary Detail'!$T:$T,"&lt;"&amp;V48,'Dietary Detail'!$U:$U,RIGHT(AD$1,4))</f>
        <v>0</v>
      </c>
      <c r="AE48" s="37">
        <f>COUNTIFS('Dietary Detail'!$R:$R,$A48,'Dietary Detail'!$T:$T,"&lt;"&amp;W48,'Dietary Detail'!$U:$U,RIGHT(AE$1,4))</f>
        <v>11</v>
      </c>
      <c r="AF48" s="37">
        <f>COUNTIFS('Dietary Detail'!$R:$R,$A48,'Dietary Detail'!$T:$T,"&lt;"&amp;$BG$3,'Dietary Detail'!$U:$U,RIGHT(AF$1,4))</f>
        <v>16</v>
      </c>
      <c r="AG48" s="37">
        <f>COUNTIFS('Dietary Detail'!$R:$R,$A48,'Dietary Detail'!$T:$T,"&lt;"&amp;$BG$4,'Dietary Detail'!$U:$U,RIGHT(AG$1,4))</f>
        <v>10</v>
      </c>
      <c r="AH48" s="37">
        <f>COUNTIFS('Dietary Detail'!$R:$R,$A48,'Dietary Detail'!$T:$T,"&lt;"&amp;$BG$5,'Dietary Detail'!$U:$U,RIGHT(AH$1,4))</f>
        <v>11</v>
      </c>
      <c r="AI48" s="37">
        <f>COUNTIFS('Dietary Detail'!$R:$R,$A48,'Dietary Detail'!$T:$T,"&lt;"&amp;Z48,'Dietary Detail'!$U:$U,RIGHT(AI$1,4))</f>
        <v>0</v>
      </c>
      <c r="AJ48" s="37">
        <f>COUNTIFS('Dietary Detail'!$R:$R,$A48,'Dietary Detail'!$T:$T,"&lt;"&amp;AA48,'Dietary Detail'!$U:$U,RIGHT(AJ$1,4))</f>
        <v>3</v>
      </c>
      <c r="AK48" s="37">
        <f>COUNTIFS('Dietary Detail'!$R:$R,$A48,'Dietary Detail'!$T:$T,"&lt;"&amp;$BH$3,'Dietary Detail'!$U:$U,RIGHT(AK$1,4))</f>
        <v>3</v>
      </c>
      <c r="AL48" s="37">
        <f>COUNTIFS('Dietary Detail'!$R:$R,$A48,'Dietary Detail'!$T:$T,"&lt;"&amp;$BH$4,'Dietary Detail'!$U:$U,RIGHT(AL$1,4))</f>
        <v>0</v>
      </c>
      <c r="AM48" s="37">
        <f>COUNTIFS('Dietary Detail'!$R:$R,$A48,'Dietary Detail'!$T:$T,"&lt;"&amp;$BH$5,'Dietary Detail'!$U:$U,RIGHT(AM$1,4))</f>
        <v>0</v>
      </c>
      <c r="AN48" s="12">
        <f>+Dietary_Sample[[#This Row],[Aide median]]*Dietary_Sample[[#This Row],[Aide Hours]]</f>
        <v>325107.20000000001</v>
      </c>
      <c r="AO48" s="12">
        <f>+Dietary_Sample[[#This Row],[Aide average]]*Dietary_Sample[[#This Row],[Aide Hours]]</f>
        <v>342505.51500000001</v>
      </c>
      <c r="AP48" s="12">
        <f>+Dietary_Sample[[#This Row],[Cook median]]*Dietary_Sample[[#This Row],[Cook Hours]]</f>
        <v>106675.8</v>
      </c>
      <c r="AQ48" s="12">
        <f>+Dietary_Sample[[#This Row],[Cook average]]*Dietary_Sample[[#This Row],[Cook Hours]]</f>
        <v>113025.55</v>
      </c>
      <c r="AR48" s="12">
        <f>+Dietary_Sample[[#This Row],[Est average Aide wage cost]]+Dietary_Sample[[#This Row],[Est average Cook wage cost]]</f>
        <v>455531.065</v>
      </c>
      <c r="AS48" s="12">
        <f>+Dietary_Sample[[#This Row],[Est average Aide wage cost]]+Dietary_Sample[[#This Row],[Est average Cook wage cost]]</f>
        <v>455531.065</v>
      </c>
      <c r="AT48" s="14">
        <f>IF(Dietary_Sample[[#This Row],[Aide cost estimator]]=0,0,Dietary_Sample[[#This Row],[Est median Aide wage cost ]]/Dietary_Sample[[#This Row],[Aide cost estimator]])</f>
        <v>0.74428405948990928</v>
      </c>
      <c r="AU48" s="14">
        <f>IF(Dietary_Sample[[#This Row],[Aide cost estimator]]=0,0,Dietary_Sample[[#This Row],[Est average Aide wage cost]]/Dietary_Sample[[#This Row],[Aide cost estimator]])</f>
        <v>0.78411488611104896</v>
      </c>
      <c r="AV48" s="14">
        <f>IF(Dietary_Sample[[#This Row],[Cook cost estimator]]=0,0,Dietary_Sample[[#This Row],[Est median Cook wage cost]]/Dietary_Sample[[#This Row],[Cook cost estimator]])</f>
        <v>0.74428405948990917</v>
      </c>
      <c r="AW48" s="14">
        <f>IF(Dietary_Sample[[#This Row],[Cook cost estimator]]=0,0,Dietary_Sample[[#This Row],[Est average Cook wage cost]]/Dietary_Sample[[#This Row],[Cook cost estimator]])</f>
        <v>0.78858668207859428</v>
      </c>
      <c r="AX48" s="14">
        <f>IF(Dietary_Sample[[#This Row],[Aide median]]=0,0,Dietary_Sample[[#This Row],[Aide min]]/Dietary_Sample[[#This Row],[Aide median]])</f>
        <v>1</v>
      </c>
      <c r="AY48" s="14">
        <f>IF(Dietary_Sample[[#This Row],[Aide median]]=0,0,Dietary_Sample[[#This Row],[Aide max]]/Dietary_Sample[[#This Row],[Aide median]])</f>
        <v>1.25</v>
      </c>
      <c r="AZ48" s="14">
        <f>IF(Dietary_Sample[[#This Row],[Cook median]]=0,0,Dietary_Sample[[#This Row],[Cook min]]/Dietary_Sample[[#This Row],[Cook median]])</f>
        <v>1</v>
      </c>
      <c r="BA48" s="14">
        <f>IF(Dietary_Sample[[#This Row],[Cook median]]=0,0,Dietary_Sample[[#This Row],[Cook max]]/Dietary_Sample[[#This Row],[Cook median]])</f>
        <v>1.2380952380952381</v>
      </c>
      <c r="BB48" s="12">
        <f>VLOOKUP(A48,Summary!$1:$1048576,2,FALSE)</f>
        <v>1</v>
      </c>
    </row>
    <row r="49" spans="1:54" x14ac:dyDescent="0.55000000000000004">
      <c r="A49" s="10">
        <v>560</v>
      </c>
      <c r="B49" s="10" t="s">
        <v>54</v>
      </c>
      <c r="C49" s="10">
        <f>VLOOKUP($A49,'SAS Data'!$1:$1048576,MATCH(C$1,'SAS Data'!$3:$3,0),FALSE)</f>
        <v>24</v>
      </c>
      <c r="D49" s="10">
        <f>VLOOKUP($A49,'SAS Data'!$1:$1048576,MATCH(D$1,'SAS Data'!$3:$3,0),FALSE)</f>
        <v>16</v>
      </c>
      <c r="E49" s="10">
        <f t="shared" si="1"/>
        <v>40</v>
      </c>
      <c r="F49" s="11">
        <f>VLOOKUP($A49,'SAS Data'!$1:$1048576,MATCH(F$1,'SAS Data'!$3:$3,0),FALSE)</f>
        <v>19.25537740642466</v>
      </c>
      <c r="G49" s="12">
        <f>+Dietary_Sample[[#This Row],[Diet Cph]]*Dietary_Sample[[#This Row],[Diet Hrsn]]</f>
        <v>1364282</v>
      </c>
      <c r="H4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1102225.2005087151</v>
      </c>
      <c r="I49" s="17">
        <f>+Dietary_Sample[[#This Row],[Employee count Sample Data Aide]]/Dietary_Sample[[#This Row],[Total aide &amp; Cook]]*Dietary_Sample[[#This Row],[Diet Hrsn]]</f>
        <v>59043.333333333336</v>
      </c>
      <c r="J49" s="13">
        <f>IF(Dietary_Sample[[#This Row],[Aide Hours]]=0,0,Dietary_Sample[[#This Row],[Aide cost estimator]]/Dietary_Sample[[#This Row],[Aide Hours]])</f>
        <v>18.668072046102552</v>
      </c>
      <c r="K4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262056.79949128491</v>
      </c>
      <c r="L49" s="17">
        <f>+Dietary_Sample[[#This Row],[Employee count Sample Data Cook]]/Dietary_Sample[[#This Row],[Total aide &amp; Cook]]*Dietary_Sample[[#This Row],[Diet Hrsn]]</f>
        <v>11808.666666666666</v>
      </c>
      <c r="M49" s="13">
        <f>IF(Dietary_Sample[[#This Row],[Cook Hours]]=0,0,Dietary_Sample[[#This Row],[Cook cost estimator]]/Dietary_Sample[[#This Row],[Cook Hours]])</f>
        <v>22.191904208035194</v>
      </c>
      <c r="N49" s="12">
        <f>VLOOKUP(A49,'Estimator data 120523'!$A:$F,5,FALSE)</f>
        <v>1364282</v>
      </c>
      <c r="O49" s="12">
        <f>VLOOKUP($A49,'SAS Data'!$1:$1048576,MATCH(O$1,'SAS Data'!$3:$3,0),FALSE)</f>
        <v>70852</v>
      </c>
      <c r="P49" s="13">
        <f>+Dietary_Sample[[#This Row],[Cost Estimator]]/Dietary_Sample[[#This Row],[Diet Hrsn]]</f>
        <v>19.25537740642466</v>
      </c>
      <c r="Q49" s="10">
        <f>COUNTIFS('Dietary Detail'!$R:$R,$A49,'Dietary Detail'!$U:$U,RIGHT(Q$1,4))</f>
        <v>30</v>
      </c>
      <c r="R49" s="10">
        <f>COUNTIFS('Dietary Detail'!$R:$R,$A49,'Dietary Detail'!$U:$U,RIGHT(R$1,4))</f>
        <v>6</v>
      </c>
      <c r="S49" s="10">
        <f>+Dietary_Sample[[#This Row],[Employee count Sample Data Aide]]+Dietary_Sample[[#This Row],[Employee count Sample Data Cook]]</f>
        <v>36</v>
      </c>
      <c r="T49" s="13">
        <v>15</v>
      </c>
      <c r="U49" s="13">
        <v>22</v>
      </c>
      <c r="V49" s="13">
        <v>16.484999999999999</v>
      </c>
      <c r="W49" s="13">
        <v>16.893359999999998</v>
      </c>
      <c r="X49" s="13">
        <v>17</v>
      </c>
      <c r="Y49" s="13">
        <v>22.04</v>
      </c>
      <c r="Z49" s="13">
        <v>19.59675</v>
      </c>
      <c r="AA49" s="13">
        <v>19.59183333333333</v>
      </c>
      <c r="AB49" s="13">
        <f>IF(AND(Dietary_Sample[[#This Row],[Aide median]]=0,Dietary_Sample[[#This Row],[Cook median]]=0),0,IF(Dietary_Sample[[#This Row],[Aide median]]=0,1,Dietary_Sample[[#This Row],[Cook median]]/Dietary_Sample[[#This Row],[Aide median]]))</f>
        <v>1.1887625113739764</v>
      </c>
      <c r="AC49" s="13">
        <f>IF(AND(Dietary_Sample[[#This Row],[Aide average]]=0,Dietary_Sample[[#This Row],[Cook average]]=0),0,IF(Dietary_Sample[[#This Row],[Aide average]]=0,1,Dietary_Sample[[#This Row],[Cook average]]/Dietary_Sample[[#This Row],[Aide average]]))</f>
        <v>1.1597357383808391</v>
      </c>
      <c r="AD49" s="37">
        <f>COUNTIFS('Dietary Detail'!$R:$R,$A49,'Dietary Detail'!$T:$T,"&lt;"&amp;V49,'Dietary Detail'!$U:$U,RIGHT(AD$1,4))</f>
        <v>15</v>
      </c>
      <c r="AE49" s="37">
        <f>COUNTIFS('Dietary Detail'!$R:$R,$A49,'Dietary Detail'!$T:$T,"&lt;"&amp;W49,'Dietary Detail'!$U:$U,RIGHT(AE$1,4))</f>
        <v>16</v>
      </c>
      <c r="AF49" s="37">
        <f>COUNTIFS('Dietary Detail'!$R:$R,$A49,'Dietary Detail'!$T:$T,"&lt;"&amp;$BG$3,'Dietary Detail'!$U:$U,RIGHT(AF$1,4))</f>
        <v>30</v>
      </c>
      <c r="AG49" s="37">
        <f>COUNTIFS('Dietary Detail'!$R:$R,$A49,'Dietary Detail'!$T:$T,"&lt;"&amp;$BG$4,'Dietary Detail'!$U:$U,RIGHT(AG$1,4))</f>
        <v>12</v>
      </c>
      <c r="AH49" s="37">
        <f>COUNTIFS('Dietary Detail'!$R:$R,$A49,'Dietary Detail'!$T:$T,"&lt;"&amp;$BG$5,'Dietary Detail'!$U:$U,RIGHT(AH$1,4))</f>
        <v>15</v>
      </c>
      <c r="AI49" s="37">
        <f>COUNTIFS('Dietary Detail'!$R:$R,$A49,'Dietary Detail'!$T:$T,"&lt;"&amp;Z49,'Dietary Detail'!$U:$U,RIGHT(AI$1,4))</f>
        <v>3</v>
      </c>
      <c r="AJ49" s="37">
        <f>COUNTIFS('Dietary Detail'!$R:$R,$A49,'Dietary Detail'!$T:$T,"&lt;"&amp;AA49,'Dietary Detail'!$U:$U,RIGHT(AJ$1,4))</f>
        <v>3</v>
      </c>
      <c r="AK49" s="37">
        <f>COUNTIFS('Dietary Detail'!$R:$R,$A49,'Dietary Detail'!$T:$T,"&lt;"&amp;$BH$3,'Dietary Detail'!$U:$U,RIGHT(AK$1,4))</f>
        <v>6</v>
      </c>
      <c r="AL49" s="37">
        <f>COUNTIFS('Dietary Detail'!$R:$R,$A49,'Dietary Detail'!$T:$T,"&lt;"&amp;$BH$4,'Dietary Detail'!$U:$U,RIGHT(AL$1,4))</f>
        <v>3</v>
      </c>
      <c r="AM49" s="37">
        <f>COUNTIFS('Dietary Detail'!$R:$R,$A49,'Dietary Detail'!$T:$T,"&lt;"&amp;$BH$5,'Dietary Detail'!$U:$U,RIGHT(AM$1,4))</f>
        <v>3</v>
      </c>
      <c r="AN49" s="12">
        <f>+Dietary_Sample[[#This Row],[Aide median]]*Dietary_Sample[[#This Row],[Aide Hours]]</f>
        <v>973329.35</v>
      </c>
      <c r="AO49" s="12">
        <f>+Dietary_Sample[[#This Row],[Aide average]]*Dietary_Sample[[#This Row],[Aide Hours]]</f>
        <v>997440.28559999994</v>
      </c>
      <c r="AP49" s="12">
        <f>+Dietary_Sample[[#This Row],[Cook median]]*Dietary_Sample[[#This Row],[Cook Hours]]</f>
        <v>231411.48849999998</v>
      </c>
      <c r="AQ49" s="12">
        <f>+Dietary_Sample[[#This Row],[Cook average]]*Dietary_Sample[[#This Row],[Cook Hours]]</f>
        <v>231353.42922222218</v>
      </c>
      <c r="AR49" s="12">
        <f>+Dietary_Sample[[#This Row],[Est average Aide wage cost]]+Dietary_Sample[[#This Row],[Est average Cook wage cost]]</f>
        <v>1228793.714822222</v>
      </c>
      <c r="AS49" s="12">
        <f>+Dietary_Sample[[#This Row],[Est average Aide wage cost]]+Dietary_Sample[[#This Row],[Est average Cook wage cost]]</f>
        <v>1228793.714822222</v>
      </c>
      <c r="AT49" s="14">
        <f>IF(Dietary_Sample[[#This Row],[Aide cost estimator]]=0,0,Dietary_Sample[[#This Row],[Est median Aide wage cost ]]/Dietary_Sample[[#This Row],[Aide cost estimator]])</f>
        <v>0.88305851612789721</v>
      </c>
      <c r="AU49" s="14">
        <f>IF(Dietary_Sample[[#This Row],[Aide cost estimator]]=0,0,Dietary_Sample[[#This Row],[Est average Aide wage cost]]/Dietary_Sample[[#This Row],[Aide cost estimator]])</f>
        <v>0.90493329778673781</v>
      </c>
      <c r="AV49" s="14">
        <f>IF(Dietary_Sample[[#This Row],[Cook cost estimator]]=0,0,Dietary_Sample[[#This Row],[Est median Cook wage cost]]/Dietary_Sample[[#This Row],[Cook cost estimator]])</f>
        <v>0.88305851612789732</v>
      </c>
      <c r="AW49" s="14">
        <f>IF(Dietary_Sample[[#This Row],[Cook cost estimator]]=0,0,Dietary_Sample[[#This Row],[Est average Cook wage cost]]/Dietary_Sample[[#This Row],[Cook cost estimator]])</f>
        <v>0.88283696386178367</v>
      </c>
      <c r="AX49" s="14">
        <f>IF(Dietary_Sample[[#This Row],[Aide median]]=0,0,Dietary_Sample[[#This Row],[Aide min]]/Dietary_Sample[[#This Row],[Aide median]])</f>
        <v>0.90991810737033674</v>
      </c>
      <c r="AY49" s="14">
        <f>IF(Dietary_Sample[[#This Row],[Aide median]]=0,0,Dietary_Sample[[#This Row],[Aide max]]/Dietary_Sample[[#This Row],[Aide median]])</f>
        <v>1.3345465574764939</v>
      </c>
      <c r="AZ49" s="14">
        <f>IF(Dietary_Sample[[#This Row],[Cook median]]=0,0,Dietary_Sample[[#This Row],[Cook min]]/Dietary_Sample[[#This Row],[Cook median]])</f>
        <v>0.86749078291043158</v>
      </c>
      <c r="BA49" s="14">
        <f>IF(Dietary_Sample[[#This Row],[Cook median]]=0,0,Dietary_Sample[[#This Row],[Cook max]]/Dietary_Sample[[#This Row],[Cook median]])</f>
        <v>1.124676285608583</v>
      </c>
      <c r="BB49" s="12">
        <f>VLOOKUP(A49,Summary!$1:$1048576,2,FALSE)</f>
        <v>3</v>
      </c>
    </row>
    <row r="50" spans="1:54" x14ac:dyDescent="0.55000000000000004">
      <c r="A50" s="10">
        <v>563</v>
      </c>
      <c r="B50" s="10" t="s">
        <v>54</v>
      </c>
      <c r="C50" s="10">
        <f>VLOOKUP($A50,'SAS Data'!$1:$1048576,MATCH(C$1,'SAS Data'!$3:$3,0),FALSE)</f>
        <v>4</v>
      </c>
      <c r="D50" s="10">
        <f>VLOOKUP($A50,'SAS Data'!$1:$1048576,MATCH(D$1,'SAS Data'!$3:$3,0),FALSE)</f>
        <v>7</v>
      </c>
      <c r="E50" s="10">
        <f t="shared" si="1"/>
        <v>11</v>
      </c>
      <c r="F50" s="11">
        <f>VLOOKUP($A50,'SAS Data'!$1:$1048576,MATCH(F$1,'SAS Data'!$3:$3,0),FALSE)</f>
        <v>18.279001655418309</v>
      </c>
      <c r="G50" s="12">
        <f>+Dietary_Sample[[#This Row],[Diet Cph]]*Dietary_Sample[[#This Row],[Diet Hrsn]]</f>
        <v>287089.99999999994</v>
      </c>
      <c r="H5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154279.08415841582</v>
      </c>
      <c r="I50" s="17">
        <f>+Dietary_Sample[[#This Row],[Employee count Sample Data Aide]]/Dietary_Sample[[#This Row],[Total aide &amp; Cook]]*Dietary_Sample[[#This Row],[Diet Hrsn]]</f>
        <v>8725.5555555555566</v>
      </c>
      <c r="J50" s="13">
        <f>IF(Dietary_Sample[[#This Row],[Aide Hours]]=0,0,Dietary_Sample[[#This Row],[Aide cost estimator]]/Dietary_Sample[[#This Row],[Aide Hours]])</f>
        <v>17.681290684142905</v>
      </c>
      <c r="K5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132810.91584158418</v>
      </c>
      <c r="L50" s="17">
        <f>+Dietary_Sample[[#This Row],[Employee count Sample Data Cook]]/Dietary_Sample[[#This Row],[Total aide &amp; Cook]]*Dietary_Sample[[#This Row],[Diet Hrsn]]</f>
        <v>6980.4444444444443</v>
      </c>
      <c r="M50" s="13">
        <f>IF(Dietary_Sample[[#This Row],[Cook Hours]]=0,0,Dietary_Sample[[#This Row],[Cook cost estimator]]/Dietary_Sample[[#This Row],[Cook Hours]])</f>
        <v>19.026140369512568</v>
      </c>
      <c r="N50" s="12">
        <f>VLOOKUP(A50,'Estimator data 120523'!$A:$F,5,FALSE)</f>
        <v>287090</v>
      </c>
      <c r="O50" s="12">
        <f>VLOOKUP($A50,'SAS Data'!$1:$1048576,MATCH(O$1,'SAS Data'!$3:$3,0),FALSE)</f>
        <v>15706</v>
      </c>
      <c r="P50" s="13">
        <f>+Dietary_Sample[[#This Row],[Cost Estimator]]/Dietary_Sample[[#This Row],[Diet Hrsn]]</f>
        <v>18.279001655418313</v>
      </c>
      <c r="Q50" s="10">
        <f>COUNTIFS('Dietary Detail'!$R:$R,$A50,'Dietary Detail'!$U:$U,RIGHT(Q$1,4))</f>
        <v>5</v>
      </c>
      <c r="R50" s="10">
        <f>COUNTIFS('Dietary Detail'!$R:$R,$A50,'Dietary Detail'!$U:$U,RIGHT(R$1,4))</f>
        <v>4</v>
      </c>
      <c r="S50" s="10">
        <f>+Dietary_Sample[[#This Row],[Employee count Sample Data Aide]]+Dietary_Sample[[#This Row],[Employee count Sample Data Cook]]</f>
        <v>9</v>
      </c>
      <c r="T50" s="13">
        <v>16.25</v>
      </c>
      <c r="U50" s="13">
        <v>18.5</v>
      </c>
      <c r="V50" s="13">
        <v>16.5</v>
      </c>
      <c r="W50" s="13">
        <v>17.05</v>
      </c>
      <c r="X50" s="13">
        <v>16</v>
      </c>
      <c r="Y50" s="13">
        <v>22</v>
      </c>
      <c r="Z50" s="13">
        <v>17.755000000000003</v>
      </c>
      <c r="AA50" s="13">
        <v>18.377500000000001</v>
      </c>
      <c r="AB50" s="13">
        <f>IF(AND(Dietary_Sample[[#This Row],[Aide median]]=0,Dietary_Sample[[#This Row],[Cook median]]=0),0,IF(Dietary_Sample[[#This Row],[Aide median]]=0,1,Dietary_Sample[[#This Row],[Cook median]]/Dietary_Sample[[#This Row],[Aide median]]))</f>
        <v>1.0760606060606062</v>
      </c>
      <c r="AC50" s="13">
        <f>IF(AND(Dietary_Sample[[#This Row],[Aide average]]=0,Dietary_Sample[[#This Row],[Cook average]]=0),0,IF(Dietary_Sample[[#This Row],[Aide average]]=0,1,Dietary_Sample[[#This Row],[Cook average]]/Dietary_Sample[[#This Row],[Aide average]]))</f>
        <v>1.0778592375366569</v>
      </c>
      <c r="AD50" s="37">
        <f>COUNTIFS('Dietary Detail'!$R:$R,$A50,'Dietary Detail'!$T:$T,"&lt;"&amp;V50,'Dietary Detail'!$U:$U,RIGHT(AD$1,4))</f>
        <v>1</v>
      </c>
      <c r="AE50" s="37">
        <f>COUNTIFS('Dietary Detail'!$R:$R,$A50,'Dietary Detail'!$T:$T,"&lt;"&amp;W50,'Dietary Detail'!$U:$U,RIGHT(AE$1,4))</f>
        <v>3</v>
      </c>
      <c r="AF50" s="37">
        <f>COUNTIFS('Dietary Detail'!$R:$R,$A50,'Dietary Detail'!$T:$T,"&lt;"&amp;$BG$3,'Dietary Detail'!$U:$U,RIGHT(AF$1,4))</f>
        <v>5</v>
      </c>
      <c r="AG50" s="37">
        <f>COUNTIFS('Dietary Detail'!$R:$R,$A50,'Dietary Detail'!$T:$T,"&lt;"&amp;$BG$4,'Dietary Detail'!$U:$U,RIGHT(AG$1,4))</f>
        <v>0</v>
      </c>
      <c r="AH50" s="37">
        <f>COUNTIFS('Dietary Detail'!$R:$R,$A50,'Dietary Detail'!$T:$T,"&lt;"&amp;$BG$5,'Dietary Detail'!$U:$U,RIGHT(AH$1,4))</f>
        <v>3</v>
      </c>
      <c r="AI50" s="37">
        <f>COUNTIFS('Dietary Detail'!$R:$R,$A50,'Dietary Detail'!$T:$T,"&lt;"&amp;Z50,'Dietary Detail'!$U:$U,RIGHT(AI$1,4))</f>
        <v>2</v>
      </c>
      <c r="AJ50" s="37">
        <f>COUNTIFS('Dietary Detail'!$R:$R,$A50,'Dietary Detail'!$T:$T,"&lt;"&amp;AA50,'Dietary Detail'!$U:$U,RIGHT(AJ$1,4))</f>
        <v>3</v>
      </c>
      <c r="AK50" s="37">
        <f>COUNTIFS('Dietary Detail'!$R:$R,$A50,'Dietary Detail'!$T:$T,"&lt;"&amp;$BH$3,'Dietary Detail'!$U:$U,RIGHT(AK$1,4))</f>
        <v>4</v>
      </c>
      <c r="AL50" s="37">
        <f>COUNTIFS('Dietary Detail'!$R:$R,$A50,'Dietary Detail'!$T:$T,"&lt;"&amp;$BH$4,'Dietary Detail'!$U:$U,RIGHT(AL$1,4))</f>
        <v>3</v>
      </c>
      <c r="AM50" s="37">
        <f>COUNTIFS('Dietary Detail'!$R:$R,$A50,'Dietary Detail'!$T:$T,"&lt;"&amp;$BH$5,'Dietary Detail'!$U:$U,RIGHT(AM$1,4))</f>
        <v>3</v>
      </c>
      <c r="AN50" s="12">
        <f>+Dietary_Sample[[#This Row],[Aide median]]*Dietary_Sample[[#This Row],[Aide Hours]]</f>
        <v>143971.66666666669</v>
      </c>
      <c r="AO50" s="12">
        <f>+Dietary_Sample[[#This Row],[Aide average]]*Dietary_Sample[[#This Row],[Aide Hours]]</f>
        <v>148770.72222222225</v>
      </c>
      <c r="AP50" s="12">
        <f>+Dietary_Sample[[#This Row],[Cook median]]*Dietary_Sample[[#This Row],[Cook Hours]]</f>
        <v>123937.79111111113</v>
      </c>
      <c r="AQ50" s="12">
        <f>+Dietary_Sample[[#This Row],[Cook average]]*Dietary_Sample[[#This Row],[Cook Hours]]</f>
        <v>128283.11777777779</v>
      </c>
      <c r="AR50" s="12">
        <f>+Dietary_Sample[[#This Row],[Est average Aide wage cost]]+Dietary_Sample[[#This Row],[Est average Cook wage cost]]</f>
        <v>277053.84000000003</v>
      </c>
      <c r="AS50" s="12">
        <f>+Dietary_Sample[[#This Row],[Est average Aide wage cost]]+Dietary_Sample[[#This Row],[Est average Cook wage cost]]</f>
        <v>277053.84000000003</v>
      </c>
      <c r="AT50" s="14">
        <f>IF(Dietary_Sample[[#This Row],[Aide cost estimator]]=0,0,Dietary_Sample[[#This Row],[Est median Aide wage cost ]]/Dietary_Sample[[#This Row],[Aide cost estimator]])</f>
        <v>0.93318979336715957</v>
      </c>
      <c r="AU50" s="14">
        <f>IF(Dietary_Sample[[#This Row],[Aide cost estimator]]=0,0,Dietary_Sample[[#This Row],[Est average Aide wage cost]]/Dietary_Sample[[#This Row],[Aide cost estimator]])</f>
        <v>0.96429611981273167</v>
      </c>
      <c r="AV50" s="14">
        <f>IF(Dietary_Sample[[#This Row],[Cook cost estimator]]=0,0,Dietary_Sample[[#This Row],[Est median Cook wage cost]]/Dietary_Sample[[#This Row],[Cook cost estimator]])</f>
        <v>0.93318979336715935</v>
      </c>
      <c r="AW50" s="14">
        <f>IF(Dietary_Sample[[#This Row],[Cook cost estimator]]=0,0,Dietary_Sample[[#This Row],[Est average Cook wage cost]]/Dietary_Sample[[#This Row],[Cook cost estimator]])</f>
        <v>0.96590793734750602</v>
      </c>
      <c r="AX50" s="14">
        <f>IF(Dietary_Sample[[#This Row],[Aide median]]=0,0,Dietary_Sample[[#This Row],[Aide min]]/Dietary_Sample[[#This Row],[Aide median]])</f>
        <v>0.98484848484848486</v>
      </c>
      <c r="AY50" s="14">
        <f>IF(Dietary_Sample[[#This Row],[Aide median]]=0,0,Dietary_Sample[[#This Row],[Aide max]]/Dietary_Sample[[#This Row],[Aide median]])</f>
        <v>1.1212121212121211</v>
      </c>
      <c r="AZ50" s="14">
        <f>IF(Dietary_Sample[[#This Row],[Cook median]]=0,0,Dietary_Sample[[#This Row],[Cook min]]/Dietary_Sample[[#This Row],[Cook median]])</f>
        <v>0.90115460433680639</v>
      </c>
      <c r="BA50" s="14">
        <f>IF(Dietary_Sample[[#This Row],[Cook median]]=0,0,Dietary_Sample[[#This Row],[Cook max]]/Dietary_Sample[[#This Row],[Cook median]])</f>
        <v>1.2390875809631088</v>
      </c>
      <c r="BB50" s="12">
        <f>VLOOKUP(A50,Summary!$1:$1048576,2,FALSE)</f>
        <v>2</v>
      </c>
    </row>
    <row r="51" spans="1:54" x14ac:dyDescent="0.55000000000000004">
      <c r="A51" s="10">
        <v>572</v>
      </c>
      <c r="B51" s="10" t="s">
        <v>54</v>
      </c>
      <c r="C51" s="10">
        <f>VLOOKUP($A51,'SAS Data'!$1:$1048576,MATCH(C$1,'SAS Data'!$3:$3,0),FALSE)</f>
        <v>3</v>
      </c>
      <c r="D51" s="10">
        <f>VLOOKUP($A51,'SAS Data'!$1:$1048576,MATCH(D$1,'SAS Data'!$3:$3,0),FALSE)</f>
        <v>6</v>
      </c>
      <c r="E51" s="10">
        <f t="shared" si="1"/>
        <v>9</v>
      </c>
      <c r="F51" s="11">
        <f>VLOOKUP($A51,'SAS Data'!$1:$1048576,MATCH(F$1,'SAS Data'!$3:$3,0),FALSE)</f>
        <v>19.438170933113128</v>
      </c>
      <c r="G51" s="12">
        <f>+Dietary_Sample[[#This Row],[Diet Cph]]*Dietary_Sample[[#This Row],[Diet Hrsn]]</f>
        <v>376633.99999999994</v>
      </c>
      <c r="H5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283804.31206519582</v>
      </c>
      <c r="I51" s="17">
        <f>+Dietary_Sample[[#This Row],[Employee count Sample Data Aide]]/Dietary_Sample[[#This Row],[Total aide &amp; Cook]]*Dietary_Sample[[#This Row],[Diet Hrsn]]</f>
        <v>14972.363636363636</v>
      </c>
      <c r="J51" s="13">
        <f>IF(Dietary_Sample[[#This Row],[Aide Hours]]=0,0,Dietary_Sample[[#This Row],[Aide cost estimator]]/Dietary_Sample[[#This Row],[Aide Hours]])</f>
        <v>18.955211011300541</v>
      </c>
      <c r="K5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92829.687934804213</v>
      </c>
      <c r="L51" s="17">
        <f>+Dietary_Sample[[#This Row],[Employee count Sample Data Cook]]/Dietary_Sample[[#This Row],[Total aide &amp; Cook]]*Dietary_Sample[[#This Row],[Diet Hrsn]]</f>
        <v>4403.6363636363631</v>
      </c>
      <c r="M51" s="13">
        <f>IF(Dietary_Sample[[#This Row],[Cook Hours]]=0,0,Dietary_Sample[[#This Row],[Cook cost estimator]]/Dietary_Sample[[#This Row],[Cook Hours]])</f>
        <v>21.080234667275938</v>
      </c>
      <c r="N51" s="12">
        <f>VLOOKUP(A51,'Estimator data 120523'!$A:$F,5,FALSE)</f>
        <v>376634</v>
      </c>
      <c r="O51" s="12">
        <f>VLOOKUP($A51,'SAS Data'!$1:$1048576,MATCH(O$1,'SAS Data'!$3:$3,0),FALSE)</f>
        <v>19376</v>
      </c>
      <c r="P51" s="13">
        <f>+Dietary_Sample[[#This Row],[Cost Estimator]]/Dietary_Sample[[#This Row],[Diet Hrsn]]</f>
        <v>19.438170933113131</v>
      </c>
      <c r="Q51" s="10">
        <f>COUNTIFS('Dietary Detail'!$R:$R,$A51,'Dietary Detail'!$U:$U,RIGHT(Q$1,4))</f>
        <v>17</v>
      </c>
      <c r="R51" s="10">
        <f>COUNTIFS('Dietary Detail'!$R:$R,$A51,'Dietary Detail'!$U:$U,RIGHT(R$1,4))</f>
        <v>5</v>
      </c>
      <c r="S51" s="10">
        <f>+Dietary_Sample[[#This Row],[Employee count Sample Data Aide]]+Dietary_Sample[[#This Row],[Employee count Sample Data Cook]]</f>
        <v>22</v>
      </c>
      <c r="T51" s="13">
        <v>15</v>
      </c>
      <c r="U51" s="13">
        <v>17.66</v>
      </c>
      <c r="V51" s="13">
        <v>15.61</v>
      </c>
      <c r="W51" s="13">
        <v>15.781176470588237</v>
      </c>
      <c r="X51" s="13">
        <v>17.36</v>
      </c>
      <c r="Y51" s="13">
        <v>19.07</v>
      </c>
      <c r="Z51" s="13">
        <v>17.36</v>
      </c>
      <c r="AA51" s="13">
        <v>17.86</v>
      </c>
      <c r="AB51" s="13">
        <f>IF(AND(Dietary_Sample[[#This Row],[Aide median]]=0,Dietary_Sample[[#This Row],[Cook median]]=0),0,IF(Dietary_Sample[[#This Row],[Aide median]]=0,1,Dietary_Sample[[#This Row],[Cook median]]/Dietary_Sample[[#This Row],[Aide median]]))</f>
        <v>1.1121076233183858</v>
      </c>
      <c r="AC51" s="13">
        <f>IF(AND(Dietary_Sample[[#This Row],[Aide average]]=0,Dietary_Sample[[#This Row],[Cook average]]=0),0,IF(Dietary_Sample[[#This Row],[Aide average]]=0,1,Dietary_Sample[[#This Row],[Cook average]]/Dietary_Sample[[#This Row],[Aide average]]))</f>
        <v>1.131728045325779</v>
      </c>
      <c r="AD51" s="37">
        <f>COUNTIFS('Dietary Detail'!$R:$R,$A51,'Dietary Detail'!$T:$T,"&lt;"&amp;V51,'Dietary Detail'!$U:$U,RIGHT(AD$1,4))</f>
        <v>8</v>
      </c>
      <c r="AE51" s="37">
        <f>COUNTIFS('Dietary Detail'!$R:$R,$A51,'Dietary Detail'!$T:$T,"&lt;"&amp;W51,'Dietary Detail'!$U:$U,RIGHT(AE$1,4))</f>
        <v>11</v>
      </c>
      <c r="AF51" s="37">
        <f>COUNTIFS('Dietary Detail'!$R:$R,$A51,'Dietary Detail'!$T:$T,"&lt;"&amp;$BG$3,'Dietary Detail'!$U:$U,RIGHT(AF$1,4))</f>
        <v>17</v>
      </c>
      <c r="AG51" s="37">
        <f>COUNTIFS('Dietary Detail'!$R:$R,$A51,'Dietary Detail'!$T:$T,"&lt;"&amp;$BG$4,'Dietary Detail'!$U:$U,RIGHT(AG$1,4))</f>
        <v>13</v>
      </c>
      <c r="AH51" s="37">
        <f>COUNTIFS('Dietary Detail'!$R:$R,$A51,'Dietary Detail'!$T:$T,"&lt;"&amp;$BG$5,'Dietary Detail'!$U:$U,RIGHT(AH$1,4))</f>
        <v>14</v>
      </c>
      <c r="AI51" s="37">
        <f>COUNTIFS('Dietary Detail'!$R:$R,$A51,'Dietary Detail'!$T:$T,"&lt;"&amp;Z51,'Dietary Detail'!$U:$U,RIGHT(AI$1,4))</f>
        <v>0</v>
      </c>
      <c r="AJ51" s="37">
        <f>COUNTIFS('Dietary Detail'!$R:$R,$A51,'Dietary Detail'!$T:$T,"&lt;"&amp;AA51,'Dietary Detail'!$U:$U,RIGHT(AJ$1,4))</f>
        <v>3</v>
      </c>
      <c r="AK51" s="37">
        <f>COUNTIFS('Dietary Detail'!$R:$R,$A51,'Dietary Detail'!$T:$T,"&lt;"&amp;$BH$3,'Dietary Detail'!$U:$U,RIGHT(AK$1,4))</f>
        <v>5</v>
      </c>
      <c r="AL51" s="37">
        <f>COUNTIFS('Dietary Detail'!$R:$R,$A51,'Dietary Detail'!$T:$T,"&lt;"&amp;$BH$4,'Dietary Detail'!$U:$U,RIGHT(AL$1,4))</f>
        <v>5</v>
      </c>
      <c r="AM51" s="37">
        <f>COUNTIFS('Dietary Detail'!$R:$R,$A51,'Dietary Detail'!$T:$T,"&lt;"&amp;$BH$5,'Dietary Detail'!$U:$U,RIGHT(AM$1,4))</f>
        <v>5</v>
      </c>
      <c r="AN51" s="12">
        <f>+Dietary_Sample[[#This Row],[Aide median]]*Dietary_Sample[[#This Row],[Aide Hours]]</f>
        <v>233718.59636363634</v>
      </c>
      <c r="AO51" s="12">
        <f>+Dietary_Sample[[#This Row],[Aide average]]*Dietary_Sample[[#This Row],[Aide Hours]]</f>
        <v>236281.51272727276</v>
      </c>
      <c r="AP51" s="12">
        <f>+Dietary_Sample[[#This Row],[Cook median]]*Dietary_Sample[[#This Row],[Cook Hours]]</f>
        <v>76447.127272727259</v>
      </c>
      <c r="AQ51" s="12">
        <f>+Dietary_Sample[[#This Row],[Cook average]]*Dietary_Sample[[#This Row],[Cook Hours]]</f>
        <v>78648.945454545435</v>
      </c>
      <c r="AR51" s="12">
        <f>+Dietary_Sample[[#This Row],[Est average Aide wage cost]]+Dietary_Sample[[#This Row],[Est average Cook wage cost]]</f>
        <v>314930.45818181819</v>
      </c>
      <c r="AS51" s="12">
        <f>+Dietary_Sample[[#This Row],[Est average Aide wage cost]]+Dietary_Sample[[#This Row],[Est average Cook wage cost]]</f>
        <v>314930.45818181819</v>
      </c>
      <c r="AT51" s="14">
        <f>IF(Dietary_Sample[[#This Row],[Aide cost estimator]]=0,0,Dietary_Sample[[#This Row],[Est median Aide wage cost ]]/Dietary_Sample[[#This Row],[Aide cost estimator]])</f>
        <v>0.82352024415311309</v>
      </c>
      <c r="AU51" s="14">
        <f>IF(Dietary_Sample[[#This Row],[Aide cost estimator]]=0,0,Dietary_Sample[[#This Row],[Est average Aide wage cost]]/Dietary_Sample[[#This Row],[Aide cost estimator]])</f>
        <v>0.83255081999245284</v>
      </c>
      <c r="AV51" s="14">
        <f>IF(Dietary_Sample[[#This Row],[Cook cost estimator]]=0,0,Dietary_Sample[[#This Row],[Est median Cook wage cost]]/Dietary_Sample[[#This Row],[Cook cost estimator]])</f>
        <v>0.82352024415311309</v>
      </c>
      <c r="AW51" s="14">
        <f>IF(Dietary_Sample[[#This Row],[Cook cost estimator]]=0,0,Dietary_Sample[[#This Row],[Est average Cook wage cost]]/Dietary_Sample[[#This Row],[Cook cost estimator]])</f>
        <v>0.84723914519438925</v>
      </c>
      <c r="AX51" s="14">
        <f>IF(Dietary_Sample[[#This Row],[Aide median]]=0,0,Dietary_Sample[[#This Row],[Aide min]]/Dietary_Sample[[#This Row],[Aide median]])</f>
        <v>0.96092248558616278</v>
      </c>
      <c r="AY51" s="14">
        <f>IF(Dietary_Sample[[#This Row],[Aide median]]=0,0,Dietary_Sample[[#This Row],[Aide max]]/Dietary_Sample[[#This Row],[Aide median]])</f>
        <v>1.1313260730301089</v>
      </c>
      <c r="AZ51" s="14">
        <f>IF(Dietary_Sample[[#This Row],[Cook median]]=0,0,Dietary_Sample[[#This Row],[Cook min]]/Dietary_Sample[[#This Row],[Cook median]])</f>
        <v>1</v>
      </c>
      <c r="BA51" s="14">
        <f>IF(Dietary_Sample[[#This Row],[Cook median]]=0,0,Dietary_Sample[[#This Row],[Cook max]]/Dietary_Sample[[#This Row],[Cook median]])</f>
        <v>1.0985023041474655</v>
      </c>
      <c r="BB51" s="12">
        <f>VLOOKUP(A51,Summary!$1:$1048576,2,FALSE)</f>
        <v>2</v>
      </c>
    </row>
    <row r="52" spans="1:54" x14ac:dyDescent="0.55000000000000004">
      <c r="A52" s="10">
        <v>575</v>
      </c>
      <c r="B52" s="10" t="s">
        <v>54</v>
      </c>
      <c r="C52" s="10">
        <f>VLOOKUP($A52,'SAS Data'!$1:$1048576,MATCH(C$1,'SAS Data'!$3:$3,0),FALSE)</f>
        <v>14</v>
      </c>
      <c r="D52" s="10">
        <f>VLOOKUP($A52,'SAS Data'!$1:$1048576,MATCH(D$1,'SAS Data'!$3:$3,0),FALSE)</f>
        <v>8</v>
      </c>
      <c r="E52" s="10">
        <f t="shared" si="1"/>
        <v>22</v>
      </c>
      <c r="F52" s="11">
        <f>VLOOKUP($A52,'SAS Data'!$1:$1048576,MATCH(F$1,'SAS Data'!$3:$3,0),FALSE)</f>
        <v>23.527518240945557</v>
      </c>
      <c r="G52" s="12">
        <f>+Dietary_Sample[[#This Row],[Diet Cph]]*Dietary_Sample[[#This Row],[Diet Hrsn]]</f>
        <v>712625</v>
      </c>
      <c r="H5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539949.58691162081</v>
      </c>
      <c r="I52" s="17">
        <f>+Dietary_Sample[[#This Row],[Employee count Sample Data Aide]]/Dietary_Sample[[#This Row],[Total aide &amp; Cook]]*Dietary_Sample[[#This Row],[Diet Hrsn]]</f>
        <v>24519.666666666668</v>
      </c>
      <c r="J52" s="13">
        <f>IF(Dietary_Sample[[#This Row],[Aide Hours]]=0,0,Dietary_Sample[[#This Row],[Aide cost estimator]]/Dietary_Sample[[#This Row],[Aide Hours]])</f>
        <v>22.021081862652597</v>
      </c>
      <c r="K5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172675.41308837917</v>
      </c>
      <c r="L52" s="17">
        <f>+Dietary_Sample[[#This Row],[Employee count Sample Data Cook]]/Dietary_Sample[[#This Row],[Total aide &amp; Cook]]*Dietary_Sample[[#This Row],[Diet Hrsn]]</f>
        <v>5769.333333333333</v>
      </c>
      <c r="M52" s="13">
        <f>IF(Dietary_Sample[[#This Row],[Cook Hours]]=0,0,Dietary_Sample[[#This Row],[Cook cost estimator]]/Dietary_Sample[[#This Row],[Cook Hours]])</f>
        <v>29.929872848690636</v>
      </c>
      <c r="N52" s="12">
        <f>VLOOKUP(A52,'Estimator data 120523'!$A:$F,5,FALSE)</f>
        <v>712625</v>
      </c>
      <c r="O52" s="12">
        <f>VLOOKUP($A52,'SAS Data'!$1:$1048576,MATCH(O$1,'SAS Data'!$3:$3,0),FALSE)</f>
        <v>30289</v>
      </c>
      <c r="P52" s="13">
        <f>+Dietary_Sample[[#This Row],[Cost Estimator]]/Dietary_Sample[[#This Row],[Diet Hrsn]]</f>
        <v>23.527518240945557</v>
      </c>
      <c r="Q52" s="10">
        <f>COUNTIFS('Dietary Detail'!$R:$R,$A52,'Dietary Detail'!$U:$U,RIGHT(Q$1,4))</f>
        <v>17</v>
      </c>
      <c r="R52" s="10">
        <f>COUNTIFS('Dietary Detail'!$R:$R,$A52,'Dietary Detail'!$U:$U,RIGHT(R$1,4))</f>
        <v>4</v>
      </c>
      <c r="S52" s="10">
        <f>+Dietary_Sample[[#This Row],[Employee count Sample Data Aide]]+Dietary_Sample[[#This Row],[Employee count Sample Data Cook]]</f>
        <v>21</v>
      </c>
      <c r="T52" s="13">
        <v>16.239999999999998</v>
      </c>
      <c r="U52" s="13">
        <v>20.57</v>
      </c>
      <c r="V52" s="13">
        <v>16.399999999999999</v>
      </c>
      <c r="W52" s="13">
        <v>17.402941176470591</v>
      </c>
      <c r="X52" s="13">
        <v>22.01</v>
      </c>
      <c r="Y52" s="13">
        <v>24.18</v>
      </c>
      <c r="Z52" s="13">
        <v>22.29</v>
      </c>
      <c r="AA52" s="13">
        <v>22.826666666666664</v>
      </c>
      <c r="AB52" s="13">
        <f>IF(AND(Dietary_Sample[[#This Row],[Aide median]]=0,Dietary_Sample[[#This Row],[Cook median]]=0),0,IF(Dietary_Sample[[#This Row],[Aide median]]=0,1,Dietary_Sample[[#This Row],[Cook median]]/Dietary_Sample[[#This Row],[Aide median]]))</f>
        <v>1.3591463414634146</v>
      </c>
      <c r="AC52" s="13">
        <f>IF(AND(Dietary_Sample[[#This Row],[Aide average]]=0,Dietary_Sample[[#This Row],[Cook average]]=0),0,IF(Dietary_Sample[[#This Row],[Aide average]]=0,1,Dietary_Sample[[#This Row],[Cook average]]/Dietary_Sample[[#This Row],[Aide average]]))</f>
        <v>1.3116556813700633</v>
      </c>
      <c r="AD52" s="37">
        <f>COUNTIFS('Dietary Detail'!$R:$R,$A52,'Dietary Detail'!$T:$T,"&lt;"&amp;V52,'Dietary Detail'!$U:$U,RIGHT(AD$1,4))</f>
        <v>8</v>
      </c>
      <c r="AE52" s="37">
        <f>COUNTIFS('Dietary Detail'!$R:$R,$A52,'Dietary Detail'!$T:$T,"&lt;"&amp;W52,'Dietary Detail'!$U:$U,RIGHT(AE$1,4))</f>
        <v>10</v>
      </c>
      <c r="AF52" s="37">
        <f>COUNTIFS('Dietary Detail'!$R:$R,$A52,'Dietary Detail'!$T:$T,"&lt;"&amp;$BG$3,'Dietary Detail'!$U:$U,RIGHT(AF$1,4))</f>
        <v>17</v>
      </c>
      <c r="AG52" s="37">
        <f>COUNTIFS('Dietary Detail'!$R:$R,$A52,'Dietary Detail'!$T:$T,"&lt;"&amp;$BG$4,'Dietary Detail'!$U:$U,RIGHT(AG$1,4))</f>
        <v>0</v>
      </c>
      <c r="AH52" s="37">
        <f>COUNTIFS('Dietary Detail'!$R:$R,$A52,'Dietary Detail'!$T:$T,"&lt;"&amp;$BG$5,'Dietary Detail'!$U:$U,RIGHT(AH$1,4))</f>
        <v>9</v>
      </c>
      <c r="AI52" s="37">
        <f>COUNTIFS('Dietary Detail'!$R:$R,$A52,'Dietary Detail'!$T:$T,"&lt;"&amp;Z52,'Dietary Detail'!$U:$U,RIGHT(AI$1,4))</f>
        <v>2</v>
      </c>
      <c r="AJ52" s="37">
        <f>COUNTIFS('Dietary Detail'!$R:$R,$A52,'Dietary Detail'!$T:$T,"&lt;"&amp;AA52,'Dietary Detail'!$U:$U,RIGHT(AJ$1,4))</f>
        <v>3</v>
      </c>
      <c r="AK52" s="37">
        <f>COUNTIFS('Dietary Detail'!$R:$R,$A52,'Dietary Detail'!$T:$T,"&lt;"&amp;$BH$3,'Dietary Detail'!$U:$U,RIGHT(AK$1,4))</f>
        <v>4</v>
      </c>
      <c r="AL52" s="37">
        <f>COUNTIFS('Dietary Detail'!$R:$R,$A52,'Dietary Detail'!$T:$T,"&lt;"&amp;$BH$4,'Dietary Detail'!$U:$U,RIGHT(AL$1,4))</f>
        <v>0</v>
      </c>
      <c r="AM52" s="37">
        <f>COUNTIFS('Dietary Detail'!$R:$R,$A52,'Dietary Detail'!$T:$T,"&lt;"&amp;$BH$5,'Dietary Detail'!$U:$U,RIGHT(AM$1,4))</f>
        <v>0</v>
      </c>
      <c r="AN52" s="12">
        <f>+Dietary_Sample[[#This Row],[Aide median]]*Dietary_Sample[[#This Row],[Aide Hours]]</f>
        <v>402122.53333333333</v>
      </c>
      <c r="AO52" s="12">
        <f>+Dietary_Sample[[#This Row],[Aide average]]*Dietary_Sample[[#This Row],[Aide Hours]]</f>
        <v>426714.31666666677</v>
      </c>
      <c r="AP52" s="12">
        <f>+Dietary_Sample[[#This Row],[Cook median]]*Dietary_Sample[[#This Row],[Cook Hours]]</f>
        <v>128598.43999999999</v>
      </c>
      <c r="AQ52" s="12">
        <f>+Dietary_Sample[[#This Row],[Cook average]]*Dietary_Sample[[#This Row],[Cook Hours]]</f>
        <v>131694.64888888886</v>
      </c>
      <c r="AR52" s="12">
        <f>+Dietary_Sample[[#This Row],[Est average Aide wage cost]]+Dietary_Sample[[#This Row],[Est average Cook wage cost]]</f>
        <v>558408.96555555565</v>
      </c>
      <c r="AS52" s="12">
        <f>+Dietary_Sample[[#This Row],[Est average Aide wage cost]]+Dietary_Sample[[#This Row],[Est average Cook wage cost]]</f>
        <v>558408.96555555565</v>
      </c>
      <c r="AT52" s="14">
        <f>IF(Dietary_Sample[[#This Row],[Aide cost estimator]]=0,0,Dietary_Sample[[#This Row],[Est median Aide wage cost ]]/Dietary_Sample[[#This Row],[Aide cost estimator]])</f>
        <v>0.74474088522481441</v>
      </c>
      <c r="AU52" s="14">
        <f>IF(Dietary_Sample[[#This Row],[Aide cost estimator]]=0,0,Dietary_Sample[[#This Row],[Est average Aide wage cost]]/Dietary_Sample[[#This Row],[Aide cost estimator]])</f>
        <v>0.79028547666341964</v>
      </c>
      <c r="AV52" s="14">
        <f>IF(Dietary_Sample[[#This Row],[Cook cost estimator]]=0,0,Dietary_Sample[[#This Row],[Est median Cook wage cost]]/Dietary_Sample[[#This Row],[Cook cost estimator]])</f>
        <v>0.7447408852248143</v>
      </c>
      <c r="AW52" s="14">
        <f>IF(Dietary_Sample[[#This Row],[Cook cost estimator]]=0,0,Dietary_Sample[[#This Row],[Est average Cook wage cost]]/Dietary_Sample[[#This Row],[Cook cost estimator]])</f>
        <v>0.76267168865253887</v>
      </c>
      <c r="AX52" s="14">
        <f>IF(Dietary_Sample[[#This Row],[Aide median]]=0,0,Dietary_Sample[[#This Row],[Aide min]]/Dietary_Sample[[#This Row],[Aide median]])</f>
        <v>0.99024390243902438</v>
      </c>
      <c r="AY52" s="14">
        <f>IF(Dietary_Sample[[#This Row],[Aide median]]=0,0,Dietary_Sample[[#This Row],[Aide max]]/Dietary_Sample[[#This Row],[Aide median]])</f>
        <v>1.2542682926829269</v>
      </c>
      <c r="AZ52" s="14">
        <f>IF(Dietary_Sample[[#This Row],[Cook median]]=0,0,Dietary_Sample[[#This Row],[Cook min]]/Dietary_Sample[[#This Row],[Cook median]])</f>
        <v>0.98743831314490815</v>
      </c>
      <c r="BA52" s="14">
        <f>IF(Dietary_Sample[[#This Row],[Cook median]]=0,0,Dietary_Sample[[#This Row],[Cook max]]/Dietary_Sample[[#This Row],[Cook median]])</f>
        <v>1.0847913862718708</v>
      </c>
      <c r="BB52" s="12">
        <f>VLOOKUP(A52,Summary!$1:$1048576,2,FALSE)</f>
        <v>3</v>
      </c>
    </row>
    <row r="53" spans="1:54" x14ac:dyDescent="0.55000000000000004">
      <c r="A53" s="10">
        <v>584</v>
      </c>
      <c r="B53" s="10" t="s">
        <v>54</v>
      </c>
      <c r="C53" s="10">
        <f>VLOOKUP($A53,'SAS Data'!$1:$1048576,MATCH(C$1,'SAS Data'!$3:$3,0),FALSE)</f>
        <v>3</v>
      </c>
      <c r="D53" s="10">
        <f>VLOOKUP($A53,'SAS Data'!$1:$1048576,MATCH(D$1,'SAS Data'!$3:$3,0),FALSE)</f>
        <v>6</v>
      </c>
      <c r="E53" s="10">
        <f t="shared" si="1"/>
        <v>9</v>
      </c>
      <c r="F53" s="11">
        <f>VLOOKUP($A53,'SAS Data'!$1:$1048576,MATCH(F$1,'SAS Data'!$3:$3,0),FALSE)</f>
        <v>19.217888019761219</v>
      </c>
      <c r="G53" s="12">
        <f>+Dietary_Sample[[#This Row],[Diet Cph]]*Dietary_Sample[[#This Row],[Diet Hrsn]]</f>
        <v>373442</v>
      </c>
      <c r="H5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276563.90240889438</v>
      </c>
      <c r="I53" s="17">
        <f>+Dietary_Sample[[#This Row],[Employee count Sample Data Aide]]/Dietary_Sample[[#This Row],[Total aide &amp; Cook]]*Dietary_Sample[[#This Row],[Diet Hrsn]]</f>
        <v>15268</v>
      </c>
      <c r="J53" s="13">
        <f>IF(Dietary_Sample[[#This Row],[Aide Hours]]=0,0,Dietary_Sample[[#This Row],[Aide cost estimator]]/Dietary_Sample[[#This Row],[Aide Hours]])</f>
        <v>18.113957454080062</v>
      </c>
      <c r="K5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96878.097591105616</v>
      </c>
      <c r="L53" s="17">
        <f>+Dietary_Sample[[#This Row],[Employee count Sample Data Cook]]/Dietary_Sample[[#This Row],[Total aide &amp; Cook]]*Dietary_Sample[[#This Row],[Diet Hrsn]]</f>
        <v>4164</v>
      </c>
      <c r="M53" s="13">
        <f>IF(Dietary_Sample[[#This Row],[Cook Hours]]=0,0,Dietary_Sample[[#This Row],[Cook cost estimator]]/Dietary_Sample[[#This Row],[Cook Hours]])</f>
        <v>23.265633427258795</v>
      </c>
      <c r="N53" s="12">
        <f>VLOOKUP(A53,'Estimator data 120523'!$A:$F,5,FALSE)</f>
        <v>373442</v>
      </c>
      <c r="O53" s="12">
        <f>VLOOKUP($A53,'SAS Data'!$1:$1048576,MATCH(O$1,'SAS Data'!$3:$3,0),FALSE)</f>
        <v>19432</v>
      </c>
      <c r="P53" s="13">
        <f>+Dietary_Sample[[#This Row],[Cost Estimator]]/Dietary_Sample[[#This Row],[Diet Hrsn]]</f>
        <v>19.217888019761219</v>
      </c>
      <c r="Q53" s="10">
        <f>COUNTIFS('Dietary Detail'!$R:$R,$A53,'Dietary Detail'!$U:$U,RIGHT(Q$1,4))</f>
        <v>11</v>
      </c>
      <c r="R53" s="10">
        <f>COUNTIFS('Dietary Detail'!$R:$R,$A53,'Dietary Detail'!$U:$U,RIGHT(R$1,4))</f>
        <v>3</v>
      </c>
      <c r="S53" s="10">
        <f>+Dietary_Sample[[#This Row],[Employee count Sample Data Aide]]+Dietary_Sample[[#This Row],[Employee count Sample Data Cook]]</f>
        <v>14</v>
      </c>
      <c r="T53" s="13">
        <v>16.05</v>
      </c>
      <c r="U53" s="13">
        <v>19.57</v>
      </c>
      <c r="V53" s="13">
        <v>16.350000000000001</v>
      </c>
      <c r="W53" s="13">
        <v>16.706363636363637</v>
      </c>
      <c r="X53" s="13">
        <v>20.8</v>
      </c>
      <c r="Y53" s="13">
        <v>22.47</v>
      </c>
      <c r="Z53" s="13">
        <v>21</v>
      </c>
      <c r="AA53" s="13">
        <v>21.423333333333332</v>
      </c>
      <c r="AB53" s="13">
        <f>IF(AND(Dietary_Sample[[#This Row],[Aide median]]=0,Dietary_Sample[[#This Row],[Cook median]]=0),0,IF(Dietary_Sample[[#This Row],[Aide median]]=0,1,Dietary_Sample[[#This Row],[Cook median]]/Dietary_Sample[[#This Row],[Aide median]]))</f>
        <v>1.2844036697247705</v>
      </c>
      <c r="AC53" s="13">
        <f>IF(AND(Dietary_Sample[[#This Row],[Aide average]]=0,Dietary_Sample[[#This Row],[Cook average]]=0),0,IF(Dietary_Sample[[#This Row],[Aide average]]=0,1,Dietary_Sample[[#This Row],[Cook average]]/Dietary_Sample[[#This Row],[Aide average]]))</f>
        <v>1.2823456857303512</v>
      </c>
      <c r="AD53" s="37">
        <f>COUNTIFS('Dietary Detail'!$R:$R,$A53,'Dietary Detail'!$T:$T,"&lt;"&amp;V53,'Dietary Detail'!$U:$U,RIGHT(AD$1,4))</f>
        <v>5</v>
      </c>
      <c r="AE53" s="37">
        <f>COUNTIFS('Dietary Detail'!$R:$R,$A53,'Dietary Detail'!$T:$T,"&lt;"&amp;W53,'Dietary Detail'!$U:$U,RIGHT(AE$1,4))</f>
        <v>7</v>
      </c>
      <c r="AF53" s="37">
        <f>COUNTIFS('Dietary Detail'!$R:$R,$A53,'Dietary Detail'!$T:$T,"&lt;"&amp;$BG$3,'Dietary Detail'!$U:$U,RIGHT(AF$1,4))</f>
        <v>11</v>
      </c>
      <c r="AG53" s="37">
        <f>COUNTIFS('Dietary Detail'!$R:$R,$A53,'Dietary Detail'!$T:$T,"&lt;"&amp;$BG$4,'Dietary Detail'!$U:$U,RIGHT(AG$1,4))</f>
        <v>5</v>
      </c>
      <c r="AH53" s="37">
        <f>COUNTIFS('Dietary Detail'!$R:$R,$A53,'Dietary Detail'!$T:$T,"&lt;"&amp;$BG$5,'Dietary Detail'!$U:$U,RIGHT(AH$1,4))</f>
        <v>7</v>
      </c>
      <c r="AI53" s="37">
        <f>COUNTIFS('Dietary Detail'!$R:$R,$A53,'Dietary Detail'!$T:$T,"&lt;"&amp;Z53,'Dietary Detail'!$U:$U,RIGHT(AI$1,4))</f>
        <v>1</v>
      </c>
      <c r="AJ53" s="37">
        <f>COUNTIFS('Dietary Detail'!$R:$R,$A53,'Dietary Detail'!$T:$T,"&lt;"&amp;AA53,'Dietary Detail'!$U:$U,RIGHT(AJ$1,4))</f>
        <v>2</v>
      </c>
      <c r="AK53" s="37">
        <f>COUNTIFS('Dietary Detail'!$R:$R,$A53,'Dietary Detail'!$T:$T,"&lt;"&amp;$BH$3,'Dietary Detail'!$U:$U,RIGHT(AK$1,4))</f>
        <v>3</v>
      </c>
      <c r="AL53" s="37">
        <f>COUNTIFS('Dietary Detail'!$R:$R,$A53,'Dietary Detail'!$T:$T,"&lt;"&amp;$BH$4,'Dietary Detail'!$U:$U,RIGHT(AL$1,4))</f>
        <v>0</v>
      </c>
      <c r="AM53" s="37">
        <f>COUNTIFS('Dietary Detail'!$R:$R,$A53,'Dietary Detail'!$T:$T,"&lt;"&amp;$BH$5,'Dietary Detail'!$U:$U,RIGHT(AM$1,4))</f>
        <v>0</v>
      </c>
      <c r="AN53" s="12">
        <f>+Dietary_Sample[[#This Row],[Aide median]]*Dietary_Sample[[#This Row],[Aide Hours]]</f>
        <v>249631.80000000002</v>
      </c>
      <c r="AO53" s="12">
        <f>+Dietary_Sample[[#This Row],[Aide average]]*Dietary_Sample[[#This Row],[Aide Hours]]</f>
        <v>255072.76</v>
      </c>
      <c r="AP53" s="12">
        <f>+Dietary_Sample[[#This Row],[Cook median]]*Dietary_Sample[[#This Row],[Cook Hours]]</f>
        <v>87444</v>
      </c>
      <c r="AQ53" s="12">
        <f>+Dietary_Sample[[#This Row],[Cook average]]*Dietary_Sample[[#This Row],[Cook Hours]]</f>
        <v>89206.76</v>
      </c>
      <c r="AR53" s="12">
        <f>+Dietary_Sample[[#This Row],[Est average Aide wage cost]]+Dietary_Sample[[#This Row],[Est average Cook wage cost]]</f>
        <v>344279.52</v>
      </c>
      <c r="AS53" s="12">
        <f>+Dietary_Sample[[#This Row],[Est average Aide wage cost]]+Dietary_Sample[[#This Row],[Est average Cook wage cost]]</f>
        <v>344279.52</v>
      </c>
      <c r="AT53" s="14">
        <f>IF(Dietary_Sample[[#This Row],[Aide cost estimator]]=0,0,Dietary_Sample[[#This Row],[Est median Aide wage cost ]]/Dietary_Sample[[#This Row],[Aide cost estimator]])</f>
        <v>0.90261888057583239</v>
      </c>
      <c r="AU53" s="14">
        <f>IF(Dietary_Sample[[#This Row],[Aide cost estimator]]=0,0,Dietary_Sample[[#This Row],[Est average Aide wage cost]]/Dietary_Sample[[#This Row],[Aide cost estimator]])</f>
        <v>0.92229230849830812</v>
      </c>
      <c r="AV53" s="14">
        <f>IF(Dietary_Sample[[#This Row],[Cook cost estimator]]=0,0,Dietary_Sample[[#This Row],[Est median Cook wage cost]]/Dietary_Sample[[#This Row],[Cook cost estimator]])</f>
        <v>0.90261888057583239</v>
      </c>
      <c r="AW53" s="14">
        <f>IF(Dietary_Sample[[#This Row],[Cook cost estimator]]=0,0,Dietary_Sample[[#This Row],[Est average Cook wage cost]]/Dietary_Sample[[#This Row],[Cook cost estimator]])</f>
        <v>0.92081453102553568</v>
      </c>
      <c r="AX53" s="14">
        <f>IF(Dietary_Sample[[#This Row],[Aide median]]=0,0,Dietary_Sample[[#This Row],[Aide min]]/Dietary_Sample[[#This Row],[Aide median]])</f>
        <v>0.98165137614678899</v>
      </c>
      <c r="AY53" s="14">
        <f>IF(Dietary_Sample[[#This Row],[Aide median]]=0,0,Dietary_Sample[[#This Row],[Aide max]]/Dietary_Sample[[#This Row],[Aide median]])</f>
        <v>1.1969418960244647</v>
      </c>
      <c r="AZ53" s="14">
        <f>IF(Dietary_Sample[[#This Row],[Cook median]]=0,0,Dietary_Sample[[#This Row],[Cook min]]/Dietary_Sample[[#This Row],[Cook median]])</f>
        <v>0.99047619047619051</v>
      </c>
      <c r="BA53" s="14">
        <f>IF(Dietary_Sample[[#This Row],[Cook median]]=0,0,Dietary_Sample[[#This Row],[Cook max]]/Dietary_Sample[[#This Row],[Cook median]])</f>
        <v>1.0699999999999998</v>
      </c>
      <c r="BB53" s="12">
        <f>VLOOKUP(A53,Summary!$1:$1048576,2,FALSE)</f>
        <v>3</v>
      </c>
    </row>
    <row r="54" spans="1:54" x14ac:dyDescent="0.55000000000000004">
      <c r="A54" s="10">
        <v>604</v>
      </c>
      <c r="B54" s="10" t="s">
        <v>54</v>
      </c>
      <c r="C54" s="10">
        <f>VLOOKUP($A54,'SAS Data'!$1:$1048576,MATCH(C$1,'SAS Data'!$3:$3,0),FALSE)</f>
        <v>7</v>
      </c>
      <c r="D54" s="10">
        <f>VLOOKUP($A54,'SAS Data'!$1:$1048576,MATCH(D$1,'SAS Data'!$3:$3,0),FALSE)</f>
        <v>13</v>
      </c>
      <c r="E54" s="10">
        <f t="shared" si="1"/>
        <v>20</v>
      </c>
      <c r="F54" s="11">
        <f>VLOOKUP($A54,'SAS Data'!$1:$1048576,MATCH(F$1,'SAS Data'!$3:$3,0),FALSE)</f>
        <v>20.39164405352297</v>
      </c>
      <c r="G54" s="12">
        <f>+Dietary_Sample[[#This Row],[Diet Cph]]*Dietary_Sample[[#This Row],[Diet Hrsn]]</f>
        <v>435850.99999999994</v>
      </c>
      <c r="H5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281867.7125748503</v>
      </c>
      <c r="I54" s="17">
        <f>+Dietary_Sample[[#This Row],[Employee count Sample Data Aide]]/Dietary_Sample[[#This Row],[Total aide &amp; Cook]]*Dietary_Sample[[#This Row],[Diet Hrsn]]</f>
        <v>14249.333333333332</v>
      </c>
      <c r="J54" s="13">
        <f>IF(Dietary_Sample[[#This Row],[Aide Hours]]=0,0,Dietary_Sample[[#This Row],[Aide cost estimator]]/Dietary_Sample[[#This Row],[Aide Hours]])</f>
        <v>19.781115788447437</v>
      </c>
      <c r="K5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153983.2874251497</v>
      </c>
      <c r="L54" s="17">
        <f>+Dietary_Sample[[#This Row],[Employee count Sample Data Cook]]/Dietary_Sample[[#This Row],[Total aide &amp; Cook]]*Dietary_Sample[[#This Row],[Diet Hrsn]]</f>
        <v>7124.6666666666661</v>
      </c>
      <c r="M54" s="13">
        <f>IF(Dietary_Sample[[#This Row],[Cook Hours]]=0,0,Dietary_Sample[[#This Row],[Cook cost estimator]]/Dietary_Sample[[#This Row],[Cook Hours]])</f>
        <v>21.612700583674048</v>
      </c>
      <c r="N54" s="12">
        <f>VLOOKUP(A54,'Estimator data 120523'!$A:$F,5,FALSE)</f>
        <v>435851</v>
      </c>
      <c r="O54" s="12">
        <f>VLOOKUP($A54,'SAS Data'!$1:$1048576,MATCH(O$1,'SAS Data'!$3:$3,0),FALSE)</f>
        <v>21374</v>
      </c>
      <c r="P54" s="13">
        <f>+Dietary_Sample[[#This Row],[Cost Estimator]]/Dietary_Sample[[#This Row],[Diet Hrsn]]</f>
        <v>20.39164405352297</v>
      </c>
      <c r="Q54" s="10">
        <f>COUNTIFS('Dietary Detail'!$R:$R,$A54,'Dietary Detail'!$U:$U,RIGHT(Q$1,4))</f>
        <v>8</v>
      </c>
      <c r="R54" s="10">
        <f>COUNTIFS('Dietary Detail'!$R:$R,$A54,'Dietary Detail'!$U:$U,RIGHT(R$1,4))</f>
        <v>4</v>
      </c>
      <c r="S54" s="10">
        <f>+Dietary_Sample[[#This Row],[Employee count Sample Data Aide]]+Dietary_Sample[[#This Row],[Employee count Sample Data Cook]]</f>
        <v>12</v>
      </c>
      <c r="T54" s="13">
        <v>15.74</v>
      </c>
      <c r="U54" s="13">
        <v>22.31</v>
      </c>
      <c r="V54" s="13">
        <v>17.82</v>
      </c>
      <c r="W54" s="13">
        <v>18.7075</v>
      </c>
      <c r="X54" s="13">
        <v>16.399999999999999</v>
      </c>
      <c r="Y54" s="13">
        <v>20.23</v>
      </c>
      <c r="Z54" s="13">
        <v>19.47</v>
      </c>
      <c r="AA54" s="13">
        <v>18.892500000000002</v>
      </c>
      <c r="AB54" s="13">
        <f>IF(AND(Dietary_Sample[[#This Row],[Aide median]]=0,Dietary_Sample[[#This Row],[Cook median]]=0),0,IF(Dietary_Sample[[#This Row],[Aide median]]=0,1,Dietary_Sample[[#This Row],[Cook median]]/Dietary_Sample[[#This Row],[Aide median]]))</f>
        <v>1.0925925925925926</v>
      </c>
      <c r="AC54" s="13">
        <f>IF(AND(Dietary_Sample[[#This Row],[Aide average]]=0,Dietary_Sample[[#This Row],[Cook average]]=0),0,IF(Dietary_Sample[[#This Row],[Aide average]]=0,1,Dietary_Sample[[#This Row],[Cook average]]/Dietary_Sample[[#This Row],[Aide average]]))</f>
        <v>1.0098890819190165</v>
      </c>
      <c r="AD54" s="37">
        <f>COUNTIFS('Dietary Detail'!$R:$R,$A54,'Dietary Detail'!$T:$T,"&lt;"&amp;V54,'Dietary Detail'!$U:$U,RIGHT(AD$1,4))</f>
        <v>4</v>
      </c>
      <c r="AE54" s="37">
        <f>COUNTIFS('Dietary Detail'!$R:$R,$A54,'Dietary Detail'!$T:$T,"&lt;"&amp;W54,'Dietary Detail'!$U:$U,RIGHT(AE$1,4))</f>
        <v>5</v>
      </c>
      <c r="AF54" s="37">
        <f>COUNTIFS('Dietary Detail'!$R:$R,$A54,'Dietary Detail'!$T:$T,"&lt;"&amp;$BG$3,'Dietary Detail'!$U:$U,RIGHT(AF$1,4))</f>
        <v>8</v>
      </c>
      <c r="AG54" s="37">
        <f>COUNTIFS('Dietary Detail'!$R:$R,$A54,'Dietary Detail'!$T:$T,"&lt;"&amp;$BG$4,'Dietary Detail'!$U:$U,RIGHT(AG$1,4))</f>
        <v>3</v>
      </c>
      <c r="AH54" s="37">
        <f>COUNTIFS('Dietary Detail'!$R:$R,$A54,'Dietary Detail'!$T:$T,"&lt;"&amp;$BG$5,'Dietary Detail'!$U:$U,RIGHT(AH$1,4))</f>
        <v>3</v>
      </c>
      <c r="AI54" s="37">
        <f>COUNTIFS('Dietary Detail'!$R:$R,$A54,'Dietary Detail'!$T:$T,"&lt;"&amp;Z54,'Dietary Detail'!$U:$U,RIGHT(AI$1,4))</f>
        <v>2</v>
      </c>
      <c r="AJ54" s="37">
        <f>COUNTIFS('Dietary Detail'!$R:$R,$A54,'Dietary Detail'!$T:$T,"&lt;"&amp;AA54,'Dietary Detail'!$U:$U,RIGHT(AJ$1,4))</f>
        <v>2</v>
      </c>
      <c r="AK54" s="37">
        <f>COUNTIFS('Dietary Detail'!$R:$R,$A54,'Dietary Detail'!$T:$T,"&lt;"&amp;$BH$3,'Dietary Detail'!$U:$U,RIGHT(AK$1,4))</f>
        <v>4</v>
      </c>
      <c r="AL54" s="37">
        <f>COUNTIFS('Dietary Detail'!$R:$R,$A54,'Dietary Detail'!$T:$T,"&lt;"&amp;$BH$4,'Dietary Detail'!$U:$U,RIGHT(AL$1,4))</f>
        <v>2</v>
      </c>
      <c r="AM54" s="37">
        <f>COUNTIFS('Dietary Detail'!$R:$R,$A54,'Dietary Detail'!$T:$T,"&lt;"&amp;$BH$5,'Dietary Detail'!$U:$U,RIGHT(AM$1,4))</f>
        <v>2</v>
      </c>
      <c r="AN54" s="12">
        <f>+Dietary_Sample[[#This Row],[Aide median]]*Dietary_Sample[[#This Row],[Aide Hours]]</f>
        <v>253923.12</v>
      </c>
      <c r="AO54" s="12">
        <f>+Dietary_Sample[[#This Row],[Aide average]]*Dietary_Sample[[#This Row],[Aide Hours]]</f>
        <v>266569.40333333332</v>
      </c>
      <c r="AP54" s="12">
        <f>+Dietary_Sample[[#This Row],[Cook median]]*Dietary_Sample[[#This Row],[Cook Hours]]</f>
        <v>138717.25999999998</v>
      </c>
      <c r="AQ54" s="12">
        <f>+Dietary_Sample[[#This Row],[Cook average]]*Dietary_Sample[[#This Row],[Cook Hours]]</f>
        <v>134602.76500000001</v>
      </c>
      <c r="AR54" s="12">
        <f>+Dietary_Sample[[#This Row],[Est average Aide wage cost]]+Dietary_Sample[[#This Row],[Est average Cook wage cost]]</f>
        <v>401172.16833333333</v>
      </c>
      <c r="AS54" s="12">
        <f>+Dietary_Sample[[#This Row],[Est average Aide wage cost]]+Dietary_Sample[[#This Row],[Est average Cook wage cost]]</f>
        <v>401172.16833333333</v>
      </c>
      <c r="AT54" s="14">
        <f>IF(Dietary_Sample[[#This Row],[Aide cost estimator]]=0,0,Dietary_Sample[[#This Row],[Est median Aide wage cost ]]/Dietary_Sample[[#This Row],[Aide cost estimator]])</f>
        <v>0.90085919270576409</v>
      </c>
      <c r="AU54" s="14">
        <f>IF(Dietary_Sample[[#This Row],[Aide cost estimator]]=0,0,Dietary_Sample[[#This Row],[Est average Aide wage cost]]/Dietary_Sample[[#This Row],[Aide cost estimator]])</f>
        <v>0.94572521591150849</v>
      </c>
      <c r="AV54" s="14">
        <f>IF(Dietary_Sample[[#This Row],[Cook cost estimator]]=0,0,Dietary_Sample[[#This Row],[Est median Cook wage cost]]/Dietary_Sample[[#This Row],[Cook cost estimator]])</f>
        <v>0.90085919270576398</v>
      </c>
      <c r="AW54" s="14">
        <f>IF(Dietary_Sample[[#This Row],[Cook cost estimator]]=0,0,Dietary_Sample[[#This Row],[Est average Cook wage cost]]/Dietary_Sample[[#This Row],[Cook cost estimator]])</f>
        <v>0.87413879292211871</v>
      </c>
      <c r="AX54" s="14">
        <f>IF(Dietary_Sample[[#This Row],[Aide median]]=0,0,Dietary_Sample[[#This Row],[Aide min]]/Dietary_Sample[[#This Row],[Aide median]])</f>
        <v>0.88327721661054992</v>
      </c>
      <c r="AY54" s="14">
        <f>IF(Dietary_Sample[[#This Row],[Aide median]]=0,0,Dietary_Sample[[#This Row],[Aide max]]/Dietary_Sample[[#This Row],[Aide median]])</f>
        <v>1.2519640852974185</v>
      </c>
      <c r="AZ54" s="14">
        <f>IF(Dietary_Sample[[#This Row],[Cook median]]=0,0,Dietary_Sample[[#This Row],[Cook min]]/Dietary_Sample[[#This Row],[Cook median]])</f>
        <v>0.84232152028762197</v>
      </c>
      <c r="BA54" s="14">
        <f>IF(Dietary_Sample[[#This Row],[Cook median]]=0,0,Dietary_Sample[[#This Row],[Cook max]]/Dietary_Sample[[#This Row],[Cook median]])</f>
        <v>1.039034411915768</v>
      </c>
      <c r="BB54" s="12">
        <f>VLOOKUP(A54,Summary!$1:$1048576,2,FALSE)</f>
        <v>3</v>
      </c>
    </row>
    <row r="55" spans="1:54" x14ac:dyDescent="0.55000000000000004">
      <c r="A55" s="10">
        <v>606</v>
      </c>
      <c r="B55" s="10" t="s">
        <v>54</v>
      </c>
      <c r="C55" s="10">
        <f>VLOOKUP($A55,'SAS Data'!$1:$1048576,MATCH(C$1,'SAS Data'!$3:$3,0),FALSE)</f>
        <v>5</v>
      </c>
      <c r="D55" s="10">
        <f>VLOOKUP($A55,'SAS Data'!$1:$1048576,MATCH(D$1,'SAS Data'!$3:$3,0),FALSE)</f>
        <v>12</v>
      </c>
      <c r="E55" s="10">
        <f t="shared" si="1"/>
        <v>17</v>
      </c>
      <c r="F55" s="11">
        <f>VLOOKUP($A55,'SAS Data'!$1:$1048576,MATCH(F$1,'SAS Data'!$3:$3,0),FALSE)</f>
        <v>13.640355382087101</v>
      </c>
      <c r="G55" s="12">
        <f>+Dietary_Sample[[#This Row],[Diet Cph]]*Dietary_Sample[[#This Row],[Diet Hrsn]]</f>
        <v>265605.00000000006</v>
      </c>
      <c r="H5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193290.0597855965</v>
      </c>
      <c r="I55" s="17">
        <f>+Dietary_Sample[[#This Row],[Employee count Sample Data Aide]]/Dietary_Sample[[#This Row],[Total aide &amp; Cook]]*Dietary_Sample[[#This Row],[Diet Hrsn]]</f>
        <v>14604</v>
      </c>
      <c r="J55" s="13">
        <f>IF(Dietary_Sample[[#This Row],[Aide Hours]]=0,0,Dietary_Sample[[#This Row],[Aide cost estimator]]/Dietary_Sample[[#This Row],[Aide Hours]])</f>
        <v>13.235419048589188</v>
      </c>
      <c r="K5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72314.940214403527</v>
      </c>
      <c r="L55" s="17">
        <f>+Dietary_Sample[[#This Row],[Employee count Sample Data Cook]]/Dietary_Sample[[#This Row],[Total aide &amp; Cook]]*Dietary_Sample[[#This Row],[Diet Hrsn]]</f>
        <v>4868</v>
      </c>
      <c r="M55" s="13">
        <f>IF(Dietary_Sample[[#This Row],[Cook Hours]]=0,0,Dietary_Sample[[#This Row],[Cook cost estimator]]/Dietary_Sample[[#This Row],[Cook Hours]])</f>
        <v>14.85516438258084</v>
      </c>
      <c r="N55" s="12">
        <f>VLOOKUP(A55,'Estimator data 120523'!$A:$F,5,FALSE)</f>
        <v>265605</v>
      </c>
      <c r="O55" s="12">
        <f>VLOOKUP($A55,'SAS Data'!$1:$1048576,MATCH(O$1,'SAS Data'!$3:$3,0),FALSE)</f>
        <v>19472</v>
      </c>
      <c r="P55" s="13">
        <f>+Dietary_Sample[[#This Row],[Cost Estimator]]/Dietary_Sample[[#This Row],[Diet Hrsn]]</f>
        <v>13.640355382087099</v>
      </c>
      <c r="Q55" s="10">
        <f>COUNTIFS('Dietary Detail'!$R:$R,$A55,'Dietary Detail'!$U:$U,RIGHT(Q$1,4))</f>
        <v>9</v>
      </c>
      <c r="R55" s="10">
        <f>COUNTIFS('Dietary Detail'!$R:$R,$A55,'Dietary Detail'!$U:$U,RIGHT(R$1,4))</f>
        <v>3</v>
      </c>
      <c r="S55" s="10">
        <f>+Dietary_Sample[[#This Row],[Employee count Sample Data Aide]]+Dietary_Sample[[#This Row],[Employee count Sample Data Cook]]</f>
        <v>12</v>
      </c>
      <c r="T55" s="13">
        <v>14.99</v>
      </c>
      <c r="U55" s="13">
        <v>20.16</v>
      </c>
      <c r="V55" s="13">
        <v>17.649999999999999</v>
      </c>
      <c r="W55" s="13">
        <v>17.622222222222224</v>
      </c>
      <c r="X55" s="13">
        <v>17.059999999999999</v>
      </c>
      <c r="Y55" s="13">
        <v>22.78</v>
      </c>
      <c r="Z55" s="13">
        <v>19.809999999999999</v>
      </c>
      <c r="AA55" s="13">
        <v>19.883333333333336</v>
      </c>
      <c r="AB55" s="13">
        <f>IF(AND(Dietary_Sample[[#This Row],[Aide median]]=0,Dietary_Sample[[#This Row],[Cook median]]=0),0,IF(Dietary_Sample[[#This Row],[Aide median]]=0,1,Dietary_Sample[[#This Row],[Cook median]]/Dietary_Sample[[#This Row],[Aide median]]))</f>
        <v>1.1223796033994335</v>
      </c>
      <c r="AC55" s="13">
        <f>IF(AND(Dietary_Sample[[#This Row],[Aide average]]=0,Dietary_Sample[[#This Row],[Cook average]]=0),0,IF(Dietary_Sample[[#This Row],[Aide average]]=0,1,Dietary_Sample[[#This Row],[Cook average]]/Dietary_Sample[[#This Row],[Aide average]]))</f>
        <v>1.1283102143757882</v>
      </c>
      <c r="AD55" s="37">
        <f>COUNTIFS('Dietary Detail'!$R:$R,$A55,'Dietary Detail'!$T:$T,"&lt;"&amp;V55,'Dietary Detail'!$U:$U,RIGHT(AD$1,4))</f>
        <v>3</v>
      </c>
      <c r="AE55" s="37">
        <f>COUNTIFS('Dietary Detail'!$R:$R,$A55,'Dietary Detail'!$T:$T,"&lt;"&amp;W55,'Dietary Detail'!$U:$U,RIGHT(AE$1,4))</f>
        <v>3</v>
      </c>
      <c r="AF55" s="37">
        <f>COUNTIFS('Dietary Detail'!$R:$R,$A55,'Dietary Detail'!$T:$T,"&lt;"&amp;$BG$3,'Dietary Detail'!$U:$U,RIGHT(AF$1,4))</f>
        <v>9</v>
      </c>
      <c r="AG55" s="37">
        <f>COUNTIFS('Dietary Detail'!$R:$R,$A55,'Dietary Detail'!$T:$T,"&lt;"&amp;$BG$4,'Dietary Detail'!$U:$U,RIGHT(AG$1,4))</f>
        <v>2</v>
      </c>
      <c r="AH55" s="37">
        <f>COUNTIFS('Dietary Detail'!$R:$R,$A55,'Dietary Detail'!$T:$T,"&lt;"&amp;$BG$5,'Dietary Detail'!$U:$U,RIGHT(AH$1,4))</f>
        <v>2</v>
      </c>
      <c r="AI55" s="37">
        <f>COUNTIFS('Dietary Detail'!$R:$R,$A55,'Dietary Detail'!$T:$T,"&lt;"&amp;Z55,'Dietary Detail'!$U:$U,RIGHT(AI$1,4))</f>
        <v>1</v>
      </c>
      <c r="AJ55" s="37">
        <f>COUNTIFS('Dietary Detail'!$R:$R,$A55,'Dietary Detail'!$T:$T,"&lt;"&amp;AA55,'Dietary Detail'!$U:$U,RIGHT(AJ$1,4))</f>
        <v>2</v>
      </c>
      <c r="AK55" s="37">
        <f>COUNTIFS('Dietary Detail'!$R:$R,$A55,'Dietary Detail'!$T:$T,"&lt;"&amp;$BH$3,'Dietary Detail'!$U:$U,RIGHT(AK$1,4))</f>
        <v>3</v>
      </c>
      <c r="AL55" s="37">
        <f>COUNTIFS('Dietary Detail'!$R:$R,$A55,'Dietary Detail'!$T:$T,"&lt;"&amp;$BH$4,'Dietary Detail'!$U:$U,RIGHT(AL$1,4))</f>
        <v>1</v>
      </c>
      <c r="AM55" s="37">
        <f>COUNTIFS('Dietary Detail'!$R:$R,$A55,'Dietary Detail'!$T:$T,"&lt;"&amp;$BH$5,'Dietary Detail'!$U:$U,RIGHT(AM$1,4))</f>
        <v>1</v>
      </c>
      <c r="AN55" s="12">
        <f>+Dietary_Sample[[#This Row],[Aide median]]*Dietary_Sample[[#This Row],[Aide Hours]]</f>
        <v>257760.59999999998</v>
      </c>
      <c r="AO55" s="12">
        <f>+Dietary_Sample[[#This Row],[Aide average]]*Dietary_Sample[[#This Row],[Aide Hours]]</f>
        <v>257354.93333333335</v>
      </c>
      <c r="AP55" s="12">
        <f>+Dietary_Sample[[#This Row],[Cook median]]*Dietary_Sample[[#This Row],[Cook Hours]]</f>
        <v>96435.079999999987</v>
      </c>
      <c r="AQ55" s="12">
        <f>+Dietary_Sample[[#This Row],[Cook average]]*Dietary_Sample[[#This Row],[Cook Hours]]</f>
        <v>96792.06666666668</v>
      </c>
      <c r="AR55" s="12">
        <f>+Dietary_Sample[[#This Row],[Est average Aide wage cost]]+Dietary_Sample[[#This Row],[Est average Cook wage cost]]</f>
        <v>354147</v>
      </c>
      <c r="AS55" s="12">
        <f>+Dietary_Sample[[#This Row],[Est average Aide wage cost]]+Dietary_Sample[[#This Row],[Est average Cook wage cost]]</f>
        <v>354147</v>
      </c>
      <c r="AT55" s="14">
        <f>IF(Dietary_Sample[[#This Row],[Aide cost estimator]]=0,0,Dietary_Sample[[#This Row],[Est median Aide wage cost ]]/Dietary_Sample[[#This Row],[Aide cost estimator]])</f>
        <v>1.3335429679411153</v>
      </c>
      <c r="AU55" s="14">
        <f>IF(Dietary_Sample[[#This Row],[Aide cost estimator]]=0,0,Dietary_Sample[[#This Row],[Est average Aide wage cost]]/Dietary_Sample[[#This Row],[Aide cost estimator]])</f>
        <v>1.3314442223195526</v>
      </c>
      <c r="AV55" s="14">
        <f>IF(Dietary_Sample[[#This Row],[Cook cost estimator]]=0,0,Dietary_Sample[[#This Row],[Est median Cook wage cost]]/Dietary_Sample[[#This Row],[Cook cost estimator]])</f>
        <v>1.3335429679411153</v>
      </c>
      <c r="AW55" s="14">
        <f>IF(Dietary_Sample[[#This Row],[Cook cost estimator]]=0,0,Dietary_Sample[[#This Row],[Est average Cook wage cost]]/Dietary_Sample[[#This Row],[Cook cost estimator]])</f>
        <v>1.3384795227610222</v>
      </c>
      <c r="AX55" s="14">
        <f>IF(Dietary_Sample[[#This Row],[Aide median]]=0,0,Dietary_Sample[[#This Row],[Aide min]]/Dietary_Sample[[#This Row],[Aide median]])</f>
        <v>0.84929178470254962</v>
      </c>
      <c r="AY55" s="14">
        <f>IF(Dietary_Sample[[#This Row],[Aide median]]=0,0,Dietary_Sample[[#This Row],[Aide max]]/Dietary_Sample[[#This Row],[Aide median]])</f>
        <v>1.1422096317280455</v>
      </c>
      <c r="AZ55" s="14">
        <f>IF(Dietary_Sample[[#This Row],[Cook median]]=0,0,Dietary_Sample[[#This Row],[Cook min]]/Dietary_Sample[[#This Row],[Cook median]])</f>
        <v>0.8611812216052499</v>
      </c>
      <c r="BA55" s="14">
        <f>IF(Dietary_Sample[[#This Row],[Cook median]]=0,0,Dietary_Sample[[#This Row],[Cook max]]/Dietary_Sample[[#This Row],[Cook median]])</f>
        <v>1.1499242806663303</v>
      </c>
      <c r="BB55" s="12">
        <f>VLOOKUP(A55,Summary!$1:$1048576,2,FALSE)</f>
        <v>2</v>
      </c>
    </row>
    <row r="56" spans="1:54" x14ac:dyDescent="0.55000000000000004">
      <c r="A56" s="10">
        <v>636</v>
      </c>
      <c r="B56" s="10" t="s">
        <v>54</v>
      </c>
      <c r="C56" s="10">
        <f>VLOOKUP($A56,'SAS Data'!$1:$1048576,MATCH(C$1,'SAS Data'!$3:$3,0),FALSE)</f>
        <v>3</v>
      </c>
      <c r="D56" s="10">
        <f>VLOOKUP($A56,'SAS Data'!$1:$1048576,MATCH(D$1,'SAS Data'!$3:$3,0),FALSE)</f>
        <v>0</v>
      </c>
      <c r="E56" s="10">
        <f t="shared" si="1"/>
        <v>3</v>
      </c>
      <c r="F56" s="11">
        <f>VLOOKUP($A56,'SAS Data'!$1:$1048576,MATCH(F$1,'SAS Data'!$3:$3,0),FALSE)</f>
        <v>25.874705111402356</v>
      </c>
      <c r="G56" s="12">
        <f>+Dietary_Sample[[#This Row],[Diet Cph]]*Dietary_Sample[[#This Row],[Diet Hrsn]]</f>
        <v>98711.999999999985</v>
      </c>
      <c r="H5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0</v>
      </c>
      <c r="I56" s="17">
        <f>+Dietary_Sample[[#This Row],[Employee count Sample Data Aide]]/Dietary_Sample[[#This Row],[Total aide &amp; Cook]]*Dietary_Sample[[#This Row],[Diet Hrsn]]</f>
        <v>0</v>
      </c>
      <c r="J56" s="13">
        <f>IF(Dietary_Sample[[#This Row],[Aide Hours]]=0,0,Dietary_Sample[[#This Row],[Aide cost estimator]]/Dietary_Sample[[#This Row],[Aide Hours]])</f>
        <v>0</v>
      </c>
      <c r="K5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98712</v>
      </c>
      <c r="L56" s="17">
        <f>+Dietary_Sample[[#This Row],[Employee count Sample Data Cook]]/Dietary_Sample[[#This Row],[Total aide &amp; Cook]]*Dietary_Sample[[#This Row],[Diet Hrsn]]</f>
        <v>3815</v>
      </c>
      <c r="M56" s="13">
        <f>IF(Dietary_Sample[[#This Row],[Cook Hours]]=0,0,Dietary_Sample[[#This Row],[Cook cost estimator]]/Dietary_Sample[[#This Row],[Cook Hours]])</f>
        <v>25.87470511140236</v>
      </c>
      <c r="N56" s="12">
        <f>VLOOKUP(A56,'Estimator data 120523'!$A:$F,5,FALSE)</f>
        <v>98712</v>
      </c>
      <c r="O56" s="12">
        <f>VLOOKUP($A56,'SAS Data'!$1:$1048576,MATCH(O$1,'SAS Data'!$3:$3,0),FALSE)</f>
        <v>3815</v>
      </c>
      <c r="P56" s="13">
        <f>+Dietary_Sample[[#This Row],[Cost Estimator]]/Dietary_Sample[[#This Row],[Diet Hrsn]]</f>
        <v>25.87470511140236</v>
      </c>
      <c r="Q56" s="10">
        <f>COUNTIFS('Dietary Detail'!$R:$R,$A56,'Dietary Detail'!$U:$U,RIGHT(Q$1,4))</f>
        <v>0</v>
      </c>
      <c r="R56" s="10">
        <f>COUNTIFS('Dietary Detail'!$R:$R,$A56,'Dietary Detail'!$U:$U,RIGHT(R$1,4))</f>
        <v>3</v>
      </c>
      <c r="S56" s="10">
        <f>+Dietary_Sample[[#This Row],[Employee count Sample Data Aide]]+Dietary_Sample[[#This Row],[Employee count Sample Data Cook]]</f>
        <v>3</v>
      </c>
      <c r="T56" s="13">
        <v>0</v>
      </c>
      <c r="U56" s="13">
        <v>0</v>
      </c>
      <c r="V56" s="13">
        <v>0</v>
      </c>
      <c r="W56" s="13">
        <v>0</v>
      </c>
      <c r="X56" s="13">
        <v>21.53</v>
      </c>
      <c r="Y56" s="13">
        <v>24</v>
      </c>
      <c r="Z56" s="13">
        <v>22.83</v>
      </c>
      <c r="AA56" s="13">
        <v>22.786666666666665</v>
      </c>
      <c r="AB56" s="13">
        <f>IF(AND(Dietary_Sample[[#This Row],[Aide median]]=0,Dietary_Sample[[#This Row],[Cook median]]=0),0,IF(Dietary_Sample[[#This Row],[Aide median]]=0,1,Dietary_Sample[[#This Row],[Cook median]]/Dietary_Sample[[#This Row],[Aide median]]))</f>
        <v>1</v>
      </c>
      <c r="AC56" s="13">
        <f>IF(AND(Dietary_Sample[[#This Row],[Aide average]]=0,Dietary_Sample[[#This Row],[Cook average]]=0),0,IF(Dietary_Sample[[#This Row],[Aide average]]=0,1,Dietary_Sample[[#This Row],[Cook average]]/Dietary_Sample[[#This Row],[Aide average]]))</f>
        <v>1</v>
      </c>
      <c r="AD56" s="37">
        <f>COUNTIFS('Dietary Detail'!$R:$R,$A56,'Dietary Detail'!$T:$T,"&lt;"&amp;V56,'Dietary Detail'!$U:$U,RIGHT(AD$1,4))</f>
        <v>0</v>
      </c>
      <c r="AE56" s="37">
        <f>COUNTIFS('Dietary Detail'!$R:$R,$A56,'Dietary Detail'!$T:$T,"&lt;"&amp;W56,'Dietary Detail'!$U:$U,RIGHT(AE$1,4))</f>
        <v>0</v>
      </c>
      <c r="AF56" s="37">
        <f>COUNTIFS('Dietary Detail'!$R:$R,$A56,'Dietary Detail'!$T:$T,"&lt;"&amp;$BG$3,'Dietary Detail'!$U:$U,RIGHT(AF$1,4))</f>
        <v>0</v>
      </c>
      <c r="AG56" s="37">
        <f>COUNTIFS('Dietary Detail'!$R:$R,$A56,'Dietary Detail'!$T:$T,"&lt;"&amp;$BG$4,'Dietary Detail'!$U:$U,RIGHT(AG$1,4))</f>
        <v>0</v>
      </c>
      <c r="AH56" s="37">
        <f>COUNTIFS('Dietary Detail'!$R:$R,$A56,'Dietary Detail'!$T:$T,"&lt;"&amp;$BG$5,'Dietary Detail'!$U:$U,RIGHT(AH$1,4))</f>
        <v>0</v>
      </c>
      <c r="AI56" s="37">
        <f>COUNTIFS('Dietary Detail'!$R:$R,$A56,'Dietary Detail'!$T:$T,"&lt;"&amp;Z56,'Dietary Detail'!$U:$U,RIGHT(AI$1,4))</f>
        <v>1</v>
      </c>
      <c r="AJ56" s="37">
        <f>COUNTIFS('Dietary Detail'!$R:$R,$A56,'Dietary Detail'!$T:$T,"&lt;"&amp;AA56,'Dietary Detail'!$U:$U,RIGHT(AJ$1,4))</f>
        <v>1</v>
      </c>
      <c r="AK56" s="37">
        <f>COUNTIFS('Dietary Detail'!$R:$R,$A56,'Dietary Detail'!$T:$T,"&lt;"&amp;$BH$3,'Dietary Detail'!$U:$U,RIGHT(AK$1,4))</f>
        <v>3</v>
      </c>
      <c r="AL56" s="37">
        <f>COUNTIFS('Dietary Detail'!$R:$R,$A56,'Dietary Detail'!$T:$T,"&lt;"&amp;$BH$4,'Dietary Detail'!$U:$U,RIGHT(AL$1,4))</f>
        <v>0</v>
      </c>
      <c r="AM56" s="37">
        <f>COUNTIFS('Dietary Detail'!$R:$R,$A56,'Dietary Detail'!$T:$T,"&lt;"&amp;$BH$5,'Dietary Detail'!$U:$U,RIGHT(AM$1,4))</f>
        <v>0</v>
      </c>
      <c r="AN56" s="12">
        <f>+Dietary_Sample[[#This Row],[Aide median]]*Dietary_Sample[[#This Row],[Aide Hours]]</f>
        <v>0</v>
      </c>
      <c r="AO56" s="12">
        <f>+Dietary_Sample[[#This Row],[Aide average]]*Dietary_Sample[[#This Row],[Aide Hours]]</f>
        <v>0</v>
      </c>
      <c r="AP56" s="12">
        <f>+Dietary_Sample[[#This Row],[Cook median]]*Dietary_Sample[[#This Row],[Cook Hours]]</f>
        <v>87096.45</v>
      </c>
      <c r="AQ56" s="12">
        <f>+Dietary_Sample[[#This Row],[Cook average]]*Dietary_Sample[[#This Row],[Cook Hours]]</f>
        <v>86931.133333333331</v>
      </c>
      <c r="AR56" s="12">
        <f>+Dietary_Sample[[#This Row],[Est average Aide wage cost]]+Dietary_Sample[[#This Row],[Est average Cook wage cost]]</f>
        <v>86931.133333333331</v>
      </c>
      <c r="AS56" s="12">
        <f>+Dietary_Sample[[#This Row],[Est average Aide wage cost]]+Dietary_Sample[[#This Row],[Est average Cook wage cost]]</f>
        <v>86931.133333333331</v>
      </c>
      <c r="AT56" s="14">
        <f>IF(Dietary_Sample[[#This Row],[Aide cost estimator]]=0,0,Dietary_Sample[[#This Row],[Est median Aide wage cost ]]/Dietary_Sample[[#This Row],[Aide cost estimator]])</f>
        <v>0</v>
      </c>
      <c r="AU56" s="14">
        <f>IF(Dietary_Sample[[#This Row],[Aide cost estimator]]=0,0,Dietary_Sample[[#This Row],[Est average Aide wage cost]]/Dietary_Sample[[#This Row],[Aide cost estimator]])</f>
        <v>0</v>
      </c>
      <c r="AV56" s="14">
        <f>IF(Dietary_Sample[[#This Row],[Cook cost estimator]]=0,0,Dietary_Sample[[#This Row],[Est median Cook wage cost]]/Dietary_Sample[[#This Row],[Cook cost estimator]])</f>
        <v>0.88232889618283483</v>
      </c>
      <c r="AW56" s="14">
        <f>IF(Dietary_Sample[[#This Row],[Cook cost estimator]]=0,0,Dietary_Sample[[#This Row],[Est average Cook wage cost]]/Dietary_Sample[[#This Row],[Cook cost estimator]])</f>
        <v>0.8806541588999649</v>
      </c>
      <c r="AX56" s="14">
        <f>IF(Dietary_Sample[[#This Row],[Aide median]]=0,0,Dietary_Sample[[#This Row],[Aide min]]/Dietary_Sample[[#This Row],[Aide median]])</f>
        <v>0</v>
      </c>
      <c r="AY56" s="14">
        <f>IF(Dietary_Sample[[#This Row],[Aide median]]=0,0,Dietary_Sample[[#This Row],[Aide max]]/Dietary_Sample[[#This Row],[Aide median]])</f>
        <v>0</v>
      </c>
      <c r="AZ56" s="14">
        <f>IF(Dietary_Sample[[#This Row],[Cook median]]=0,0,Dietary_Sample[[#This Row],[Cook min]]/Dietary_Sample[[#This Row],[Cook median]])</f>
        <v>0.9430573806395095</v>
      </c>
      <c r="BA56" s="14">
        <f>IF(Dietary_Sample[[#This Row],[Cook median]]=0,0,Dietary_Sample[[#This Row],[Cook max]]/Dietary_Sample[[#This Row],[Cook median]])</f>
        <v>1.0512483574244416</v>
      </c>
      <c r="BB56" s="12">
        <f>VLOOKUP(A56,Summary!$1:$1048576,2,FALSE)</f>
        <v>2</v>
      </c>
    </row>
    <row r="57" spans="1:54" x14ac:dyDescent="0.55000000000000004">
      <c r="A57" s="10">
        <v>642</v>
      </c>
      <c r="B57" s="10" t="s">
        <v>54</v>
      </c>
      <c r="C57" s="10">
        <f>VLOOKUP($A57,'SAS Data'!$1:$1048576,MATCH(C$1,'SAS Data'!$3:$3,0),FALSE)</f>
        <v>8</v>
      </c>
      <c r="D57" s="10">
        <f>VLOOKUP($A57,'SAS Data'!$1:$1048576,MATCH(D$1,'SAS Data'!$3:$3,0),FALSE)</f>
        <v>11</v>
      </c>
      <c r="E57" s="10">
        <f t="shared" si="1"/>
        <v>19</v>
      </c>
      <c r="F57" s="11">
        <f>VLOOKUP($A57,'SAS Data'!$1:$1048576,MATCH(F$1,'SAS Data'!$3:$3,0),FALSE)</f>
        <v>18.76702559576346</v>
      </c>
      <c r="G57" s="12">
        <f>+Dietary_Sample[[#This Row],[Diet Cph]]*Dietary_Sample[[#This Row],[Diet Hrsn]]</f>
        <v>531576</v>
      </c>
      <c r="H5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417295.14626344875</v>
      </c>
      <c r="I57" s="17">
        <f>+Dietary_Sample[[#This Row],[Employee count Sample Data Aide]]/Dietary_Sample[[#This Row],[Total aide &amp; Cook]]*Dietary_Sample[[#This Row],[Diet Hrsn]]</f>
        <v>23326.470588235294</v>
      </c>
      <c r="J57" s="13">
        <f>IF(Dietary_Sample[[#This Row],[Aide Hours]]=0,0,Dietary_Sample[[#This Row],[Aide cost estimator]]/Dietary_Sample[[#This Row],[Aide Hours]])</f>
        <v>17.889339267377704</v>
      </c>
      <c r="K5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114280.85373655133</v>
      </c>
      <c r="L57" s="17">
        <f>+Dietary_Sample[[#This Row],[Employee count Sample Data Cook]]/Dietary_Sample[[#This Row],[Total aide &amp; Cook]]*Dietary_Sample[[#This Row],[Diet Hrsn]]</f>
        <v>4998.5294117647063</v>
      </c>
      <c r="M57" s="13">
        <f>IF(Dietary_Sample[[#This Row],[Cook Hours]]=0,0,Dietary_Sample[[#This Row],[Cook cost estimator]]/Dietary_Sample[[#This Row],[Cook Hours]])</f>
        <v>22.862895128230331</v>
      </c>
      <c r="N57" s="12">
        <f>VLOOKUP(A57,'Estimator data 120523'!$A:$F,5,FALSE)</f>
        <v>531576</v>
      </c>
      <c r="O57" s="12">
        <f>VLOOKUP($A57,'SAS Data'!$1:$1048576,MATCH(O$1,'SAS Data'!$3:$3,0),FALSE)</f>
        <v>28325</v>
      </c>
      <c r="P57" s="13">
        <f>+Dietary_Sample[[#This Row],[Cost Estimator]]/Dietary_Sample[[#This Row],[Diet Hrsn]]</f>
        <v>18.76702559576346</v>
      </c>
      <c r="Q57" s="10">
        <f>COUNTIFS('Dietary Detail'!$R:$R,$A57,'Dietary Detail'!$U:$U,RIGHT(Q$1,4))</f>
        <v>14</v>
      </c>
      <c r="R57" s="10">
        <f>COUNTIFS('Dietary Detail'!$R:$R,$A57,'Dietary Detail'!$U:$U,RIGHT(R$1,4))</f>
        <v>3</v>
      </c>
      <c r="S57" s="10">
        <f>+Dietary_Sample[[#This Row],[Employee count Sample Data Aide]]+Dietary_Sample[[#This Row],[Employee count Sample Data Cook]]</f>
        <v>17</v>
      </c>
      <c r="T57" s="13">
        <v>16.829999999999998</v>
      </c>
      <c r="U57" s="13">
        <v>21.42</v>
      </c>
      <c r="V57" s="13">
        <v>17.355</v>
      </c>
      <c r="W57" s="13">
        <v>18.50714285714286</v>
      </c>
      <c r="X57" s="13">
        <v>21.16</v>
      </c>
      <c r="Y57" s="13">
        <v>22.5</v>
      </c>
      <c r="Z57" s="13">
        <v>22.18</v>
      </c>
      <c r="AA57" s="13">
        <v>21.946666666666669</v>
      </c>
      <c r="AB57" s="13">
        <f>IF(AND(Dietary_Sample[[#This Row],[Aide median]]=0,Dietary_Sample[[#This Row],[Cook median]]=0),0,IF(Dietary_Sample[[#This Row],[Aide median]]=0,1,Dietary_Sample[[#This Row],[Cook median]]/Dietary_Sample[[#This Row],[Aide median]]))</f>
        <v>1.2780178622875251</v>
      </c>
      <c r="AC57" s="13">
        <f>IF(AND(Dietary_Sample[[#This Row],[Aide average]]=0,Dietary_Sample[[#This Row],[Cook average]]=0),0,IF(Dietary_Sample[[#This Row],[Aide average]]=0,1,Dietary_Sample[[#This Row],[Cook average]]/Dietary_Sample[[#This Row],[Aide average]]))</f>
        <v>1.1858484497619965</v>
      </c>
      <c r="AD57" s="37">
        <f>COUNTIFS('Dietary Detail'!$R:$R,$A57,'Dietary Detail'!$T:$T,"&lt;"&amp;V57,'Dietary Detail'!$U:$U,RIGHT(AD$1,4))</f>
        <v>7</v>
      </c>
      <c r="AE57" s="37">
        <f>COUNTIFS('Dietary Detail'!$R:$R,$A57,'Dietary Detail'!$T:$T,"&lt;"&amp;W57,'Dietary Detail'!$U:$U,RIGHT(AE$1,4))</f>
        <v>9</v>
      </c>
      <c r="AF57" s="37">
        <f>COUNTIFS('Dietary Detail'!$R:$R,$A57,'Dietary Detail'!$T:$T,"&lt;"&amp;$BG$3,'Dietary Detail'!$U:$U,RIGHT(AF$1,4))</f>
        <v>14</v>
      </c>
      <c r="AG57" s="37">
        <f>COUNTIFS('Dietary Detail'!$R:$R,$A57,'Dietary Detail'!$T:$T,"&lt;"&amp;$BG$4,'Dietary Detail'!$U:$U,RIGHT(AG$1,4))</f>
        <v>0</v>
      </c>
      <c r="AH57" s="37">
        <f>COUNTIFS('Dietary Detail'!$R:$R,$A57,'Dietary Detail'!$T:$T,"&lt;"&amp;$BG$5,'Dietary Detail'!$U:$U,RIGHT(AH$1,4))</f>
        <v>0</v>
      </c>
      <c r="AI57" s="37">
        <f>COUNTIFS('Dietary Detail'!$R:$R,$A57,'Dietary Detail'!$T:$T,"&lt;"&amp;Z57,'Dietary Detail'!$U:$U,RIGHT(AI$1,4))</f>
        <v>1</v>
      </c>
      <c r="AJ57" s="37">
        <f>COUNTIFS('Dietary Detail'!$R:$R,$A57,'Dietary Detail'!$T:$T,"&lt;"&amp;AA57,'Dietary Detail'!$U:$U,RIGHT(AJ$1,4))</f>
        <v>1</v>
      </c>
      <c r="AK57" s="37">
        <f>COUNTIFS('Dietary Detail'!$R:$R,$A57,'Dietary Detail'!$T:$T,"&lt;"&amp;$BH$3,'Dietary Detail'!$U:$U,RIGHT(AK$1,4))</f>
        <v>3</v>
      </c>
      <c r="AL57" s="37">
        <f>COUNTIFS('Dietary Detail'!$R:$R,$A57,'Dietary Detail'!$T:$T,"&lt;"&amp;$BH$4,'Dietary Detail'!$U:$U,RIGHT(AL$1,4))</f>
        <v>0</v>
      </c>
      <c r="AM57" s="37">
        <f>COUNTIFS('Dietary Detail'!$R:$R,$A57,'Dietary Detail'!$T:$T,"&lt;"&amp;$BH$5,'Dietary Detail'!$U:$U,RIGHT(AM$1,4))</f>
        <v>0</v>
      </c>
      <c r="AN57" s="12">
        <f>+Dietary_Sample[[#This Row],[Aide median]]*Dietary_Sample[[#This Row],[Aide Hours]]</f>
        <v>404830.89705882355</v>
      </c>
      <c r="AO57" s="12">
        <f>+Dietary_Sample[[#This Row],[Aide average]]*Dietary_Sample[[#This Row],[Aide Hours]]</f>
        <v>431706.32352941181</v>
      </c>
      <c r="AP57" s="12">
        <f>+Dietary_Sample[[#This Row],[Cook median]]*Dietary_Sample[[#This Row],[Cook Hours]]</f>
        <v>110867.38235294119</v>
      </c>
      <c r="AQ57" s="12">
        <f>+Dietary_Sample[[#This Row],[Cook average]]*Dietary_Sample[[#This Row],[Cook Hours]]</f>
        <v>109701.05882352943</v>
      </c>
      <c r="AR57" s="12">
        <f>+Dietary_Sample[[#This Row],[Est average Aide wage cost]]+Dietary_Sample[[#This Row],[Est average Cook wage cost]]</f>
        <v>541407.3823529412</v>
      </c>
      <c r="AS57" s="12">
        <f>+Dietary_Sample[[#This Row],[Est average Aide wage cost]]+Dietary_Sample[[#This Row],[Est average Cook wage cost]]</f>
        <v>541407.3823529412</v>
      </c>
      <c r="AT57" s="14">
        <f>IF(Dietary_Sample[[#This Row],[Aide cost estimator]]=0,0,Dietary_Sample[[#This Row],[Est median Aide wage cost ]]/Dietary_Sample[[#This Row],[Aide cost estimator]])</f>
        <v>0.97013085506449626</v>
      </c>
      <c r="AU57" s="14">
        <f>IF(Dietary_Sample[[#This Row],[Aide cost estimator]]=0,0,Dietary_Sample[[#This Row],[Est average Aide wage cost]]/Dietary_Sample[[#This Row],[Aide cost estimator]])</f>
        <v>1.0345347349352223</v>
      </c>
      <c r="AV57" s="14">
        <f>IF(Dietary_Sample[[#This Row],[Cook cost estimator]]=0,0,Dietary_Sample[[#This Row],[Est median Cook wage cost]]/Dietary_Sample[[#This Row],[Cook cost estimator]])</f>
        <v>0.97013085506449637</v>
      </c>
      <c r="AW57" s="14">
        <f>IF(Dietary_Sample[[#This Row],[Cook cost estimator]]=0,0,Dietary_Sample[[#This Row],[Est average Cook wage cost]]/Dietary_Sample[[#This Row],[Cook cost estimator]])</f>
        <v>0.95992509013294924</v>
      </c>
      <c r="AX57" s="14">
        <f>IF(Dietary_Sample[[#This Row],[Aide median]]=0,0,Dietary_Sample[[#This Row],[Aide min]]/Dietary_Sample[[#This Row],[Aide median]])</f>
        <v>0.96974935177182353</v>
      </c>
      <c r="AY57" s="14">
        <f>IF(Dietary_Sample[[#This Row],[Aide median]]=0,0,Dietary_Sample[[#This Row],[Aide max]]/Dietary_Sample[[#This Row],[Aide median]])</f>
        <v>1.2342264477095939</v>
      </c>
      <c r="AZ57" s="14">
        <f>IF(Dietary_Sample[[#This Row],[Cook median]]=0,0,Dietary_Sample[[#This Row],[Cook min]]/Dietary_Sample[[#This Row],[Cook median]])</f>
        <v>0.95401262398557263</v>
      </c>
      <c r="BA57" s="14">
        <f>IF(Dietary_Sample[[#This Row],[Cook median]]=0,0,Dietary_Sample[[#This Row],[Cook max]]/Dietary_Sample[[#This Row],[Cook median]])</f>
        <v>1.0144274120829577</v>
      </c>
      <c r="BB57" s="12">
        <f>VLOOKUP(A57,Summary!$1:$1048576,2,FALSE)</f>
        <v>1</v>
      </c>
    </row>
    <row r="58" spans="1:54" x14ac:dyDescent="0.55000000000000004">
      <c r="A58" s="10">
        <v>644</v>
      </c>
      <c r="B58" s="10" t="s">
        <v>54</v>
      </c>
      <c r="C58" s="10">
        <f>VLOOKUP($A58,'SAS Data'!$1:$1048576,MATCH(C$1,'SAS Data'!$3:$3,0),FALSE)</f>
        <v>4</v>
      </c>
      <c r="D58" s="10">
        <f>VLOOKUP($A58,'SAS Data'!$1:$1048576,MATCH(D$1,'SAS Data'!$3:$3,0),FALSE)</f>
        <v>4</v>
      </c>
      <c r="E58" s="10">
        <f t="shared" si="1"/>
        <v>8</v>
      </c>
      <c r="F58" s="11">
        <f>VLOOKUP($A58,'SAS Data'!$1:$1048576,MATCH(F$1,'SAS Data'!$3:$3,0),FALSE)</f>
        <v>17.061765623375273</v>
      </c>
      <c r="G58" s="12">
        <f>+Dietary_Sample[[#This Row],[Diet Cph]]*Dietary_Sample[[#This Row],[Diet Hrsn]]</f>
        <v>164083</v>
      </c>
      <c r="H5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69559.071858691284</v>
      </c>
      <c r="I58" s="17">
        <f>+Dietary_Sample[[#This Row],[Employee count Sample Data Aide]]/Dietary_Sample[[#This Row],[Total aide &amp; Cook]]*Dietary_Sample[[#This Row],[Diet Hrsn]]</f>
        <v>4274.2222222222217</v>
      </c>
      <c r="J58" s="13">
        <f>IF(Dietary_Sample[[#This Row],[Aide Hours]]=0,0,Dietary_Sample[[#This Row],[Aide cost estimator]]/Dietary_Sample[[#This Row],[Aide Hours]])</f>
        <v>16.274088768020736</v>
      </c>
      <c r="K5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94523.928141308701</v>
      </c>
      <c r="L58" s="17">
        <f>+Dietary_Sample[[#This Row],[Employee count Sample Data Cook]]/Dietary_Sample[[#This Row],[Total aide &amp; Cook]]*Dietary_Sample[[#This Row],[Diet Hrsn]]</f>
        <v>5342.7777777777783</v>
      </c>
      <c r="M58" s="13">
        <f>IF(Dietary_Sample[[#This Row],[Cook Hours]]=0,0,Dietary_Sample[[#This Row],[Cook cost estimator]]/Dietary_Sample[[#This Row],[Cook Hours]])</f>
        <v>17.691907107658899</v>
      </c>
      <c r="N58" s="12">
        <f>VLOOKUP(A58,'Estimator data 120523'!$A:$F,5,FALSE)</f>
        <v>164083</v>
      </c>
      <c r="O58" s="12">
        <f>VLOOKUP($A58,'SAS Data'!$1:$1048576,MATCH(O$1,'SAS Data'!$3:$3,0),FALSE)</f>
        <v>9617</v>
      </c>
      <c r="P58" s="13">
        <f>+Dietary_Sample[[#This Row],[Cost Estimator]]/Dietary_Sample[[#This Row],[Diet Hrsn]]</f>
        <v>17.061765623375273</v>
      </c>
      <c r="Q58" s="10">
        <f>COUNTIFS('Dietary Detail'!$R:$R,$A58,'Dietary Detail'!$U:$U,RIGHT(Q$1,4))</f>
        <v>4</v>
      </c>
      <c r="R58" s="10">
        <f>COUNTIFS('Dietary Detail'!$R:$R,$A58,'Dietary Detail'!$U:$U,RIGHT(R$1,4))</f>
        <v>5</v>
      </c>
      <c r="S58" s="10">
        <f>+Dietary_Sample[[#This Row],[Employee count Sample Data Aide]]+Dietary_Sample[[#This Row],[Employee count Sample Data Cook]]</f>
        <v>9</v>
      </c>
      <c r="T58" s="13">
        <v>14.57</v>
      </c>
      <c r="U58" s="13">
        <v>15.84</v>
      </c>
      <c r="V58" s="13">
        <v>15.84</v>
      </c>
      <c r="W58" s="13">
        <v>15.585999999999999</v>
      </c>
      <c r="X58" s="13">
        <v>15.84</v>
      </c>
      <c r="Y58" s="13">
        <v>19.32</v>
      </c>
      <c r="Z58" s="13">
        <v>17.22</v>
      </c>
      <c r="AA58" s="13">
        <v>17.399999999999999</v>
      </c>
      <c r="AB58" s="13">
        <f>IF(AND(Dietary_Sample[[#This Row],[Aide median]]=0,Dietary_Sample[[#This Row],[Cook median]]=0),0,IF(Dietary_Sample[[#This Row],[Aide median]]=0,1,Dietary_Sample[[#This Row],[Cook median]]/Dietary_Sample[[#This Row],[Aide median]]))</f>
        <v>1.0871212121212122</v>
      </c>
      <c r="AC58" s="13">
        <f>IF(AND(Dietary_Sample[[#This Row],[Aide average]]=0,Dietary_Sample[[#This Row],[Cook average]]=0),0,IF(Dietary_Sample[[#This Row],[Aide average]]=0,1,Dietary_Sample[[#This Row],[Cook average]]/Dietary_Sample[[#This Row],[Aide average]]))</f>
        <v>1.1163865007057616</v>
      </c>
      <c r="AD58" s="37">
        <f>COUNTIFS('Dietary Detail'!$R:$R,$A58,'Dietary Detail'!$T:$T,"&lt;"&amp;V58,'Dietary Detail'!$U:$U,RIGHT(AD$1,4))</f>
        <v>0</v>
      </c>
      <c r="AE58" s="37">
        <f>COUNTIFS('Dietary Detail'!$R:$R,$A58,'Dietary Detail'!$T:$T,"&lt;"&amp;W58,'Dietary Detail'!$U:$U,RIGHT(AE$1,4))</f>
        <v>0</v>
      </c>
      <c r="AF58" s="37">
        <f>COUNTIFS('Dietary Detail'!$R:$R,$A58,'Dietary Detail'!$T:$T,"&lt;"&amp;$BG$3,'Dietary Detail'!$U:$U,RIGHT(AF$1,4))</f>
        <v>4</v>
      </c>
      <c r="AG58" s="37">
        <f>COUNTIFS('Dietary Detail'!$R:$R,$A58,'Dietary Detail'!$T:$T,"&lt;"&amp;$BG$4,'Dietary Detail'!$U:$U,RIGHT(AG$1,4))</f>
        <v>2</v>
      </c>
      <c r="AH58" s="37">
        <f>COUNTIFS('Dietary Detail'!$R:$R,$A58,'Dietary Detail'!$T:$T,"&lt;"&amp;$BG$5,'Dietary Detail'!$U:$U,RIGHT(AH$1,4))</f>
        <v>2</v>
      </c>
      <c r="AI58" s="37">
        <f>COUNTIFS('Dietary Detail'!$R:$R,$A58,'Dietary Detail'!$T:$T,"&lt;"&amp;Z58,'Dietary Detail'!$U:$U,RIGHT(AI$1,4))</f>
        <v>5</v>
      </c>
      <c r="AJ58" s="37">
        <f>COUNTIFS('Dietary Detail'!$R:$R,$A58,'Dietary Detail'!$T:$T,"&lt;"&amp;AA58,'Dietary Detail'!$U:$U,RIGHT(AJ$1,4))</f>
        <v>5</v>
      </c>
      <c r="AK58" s="37">
        <f>COUNTIFS('Dietary Detail'!$R:$R,$A58,'Dietary Detail'!$T:$T,"&lt;"&amp;$BH$3,'Dietary Detail'!$U:$U,RIGHT(AK$1,4))</f>
        <v>5</v>
      </c>
      <c r="AL58" s="37">
        <f>COUNTIFS('Dietary Detail'!$R:$R,$A58,'Dietary Detail'!$T:$T,"&lt;"&amp;$BH$4,'Dietary Detail'!$U:$U,RIGHT(AL$1,4))</f>
        <v>5</v>
      </c>
      <c r="AM58" s="37">
        <f>COUNTIFS('Dietary Detail'!$R:$R,$A58,'Dietary Detail'!$T:$T,"&lt;"&amp;$BH$5,'Dietary Detail'!$U:$U,RIGHT(AM$1,4))</f>
        <v>5</v>
      </c>
      <c r="AN58" s="12">
        <f>+Dietary_Sample[[#This Row],[Aide median]]*Dietary_Sample[[#This Row],[Aide Hours]]</f>
        <v>67703.679999999993</v>
      </c>
      <c r="AO58" s="12">
        <f>+Dietary_Sample[[#This Row],[Aide average]]*Dietary_Sample[[#This Row],[Aide Hours]]</f>
        <v>66618.027555555542</v>
      </c>
      <c r="AP58" s="12">
        <f>+Dietary_Sample[[#This Row],[Cook median]]*Dietary_Sample[[#This Row],[Cook Hours]]</f>
        <v>92002.633333333331</v>
      </c>
      <c r="AQ58" s="12">
        <f>+Dietary_Sample[[#This Row],[Cook average]]*Dietary_Sample[[#This Row],[Cook Hours]]</f>
        <v>92964.333333333328</v>
      </c>
      <c r="AR58" s="12">
        <f>+Dietary_Sample[[#This Row],[Est average Aide wage cost]]+Dietary_Sample[[#This Row],[Est average Cook wage cost]]</f>
        <v>159582.36088888888</v>
      </c>
      <c r="AS58" s="12">
        <f>+Dietary_Sample[[#This Row],[Est average Aide wage cost]]+Dietary_Sample[[#This Row],[Est average Cook wage cost]]</f>
        <v>159582.36088888888</v>
      </c>
      <c r="AT58" s="14">
        <f>IF(Dietary_Sample[[#This Row],[Aide cost estimator]]=0,0,Dietary_Sample[[#This Row],[Est median Aide wage cost ]]/Dietary_Sample[[#This Row],[Aide cost estimator]])</f>
        <v>0.97332638563003682</v>
      </c>
      <c r="AU58" s="14">
        <f>IF(Dietary_Sample[[#This Row],[Aide cost estimator]]=0,0,Dietary_Sample[[#This Row],[Est average Aide wage cost]]/Dietary_Sample[[#This Row],[Aide cost estimator]])</f>
        <v>0.95771875293117115</v>
      </c>
      <c r="AV58" s="14">
        <f>IF(Dietary_Sample[[#This Row],[Cook cost estimator]]=0,0,Dietary_Sample[[#This Row],[Est median Cook wage cost]]/Dietary_Sample[[#This Row],[Cook cost estimator]])</f>
        <v>0.97332638563003693</v>
      </c>
      <c r="AW58" s="14">
        <f>IF(Dietary_Sample[[#This Row],[Cook cost estimator]]=0,0,Dietary_Sample[[#This Row],[Est average Cook wage cost]]/Dietary_Sample[[#This Row],[Cook cost estimator]])</f>
        <v>0.98350052903383522</v>
      </c>
      <c r="AX58" s="14">
        <f>IF(Dietary_Sample[[#This Row],[Aide median]]=0,0,Dietary_Sample[[#This Row],[Aide min]]/Dietary_Sample[[#This Row],[Aide median]])</f>
        <v>0.91982323232323238</v>
      </c>
      <c r="AY58" s="14">
        <f>IF(Dietary_Sample[[#This Row],[Aide median]]=0,0,Dietary_Sample[[#This Row],[Aide max]]/Dietary_Sample[[#This Row],[Aide median]])</f>
        <v>1</v>
      </c>
      <c r="AZ58" s="14">
        <f>IF(Dietary_Sample[[#This Row],[Cook median]]=0,0,Dietary_Sample[[#This Row],[Cook min]]/Dietary_Sample[[#This Row],[Cook median]])</f>
        <v>0.91986062717770045</v>
      </c>
      <c r="BA58" s="14">
        <f>IF(Dietary_Sample[[#This Row],[Cook median]]=0,0,Dietary_Sample[[#This Row],[Cook max]]/Dietary_Sample[[#This Row],[Cook median]])</f>
        <v>1.1219512195121952</v>
      </c>
      <c r="BB58" s="12">
        <f>VLOOKUP(A58,Summary!$1:$1048576,2,FALSE)</f>
        <v>2</v>
      </c>
    </row>
    <row r="59" spans="1:54" x14ac:dyDescent="0.55000000000000004">
      <c r="A59" s="10">
        <v>646</v>
      </c>
      <c r="B59" s="10" t="s">
        <v>54</v>
      </c>
      <c r="C59" s="10">
        <f>VLOOKUP($A59,'SAS Data'!$1:$1048576,MATCH(C$1,'SAS Data'!$3:$3,0),FALSE)</f>
        <v>29</v>
      </c>
      <c r="D59" s="10">
        <f>VLOOKUP($A59,'SAS Data'!$1:$1048576,MATCH(D$1,'SAS Data'!$3:$3,0),FALSE)</f>
        <v>39</v>
      </c>
      <c r="E59" s="10">
        <f t="shared" si="1"/>
        <v>68</v>
      </c>
      <c r="F59" s="11">
        <f>VLOOKUP($A59,'SAS Data'!$1:$1048576,MATCH(F$1,'SAS Data'!$3:$3,0),FALSE)</f>
        <v>20.813951882122712</v>
      </c>
      <c r="G59" s="12">
        <f>+Dietary_Sample[[#This Row],[Diet Cph]]*Dietary_Sample[[#This Row],[Diet Hrsn]]</f>
        <v>904054</v>
      </c>
      <c r="H5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770299.25922484091</v>
      </c>
      <c r="I59" s="17">
        <f>+Dietary_Sample[[#This Row],[Employee count Sample Data Aide]]/Dietary_Sample[[#This Row],[Total aide &amp; Cook]]*Dietary_Sample[[#This Row],[Diet Hrsn]]</f>
        <v>38548.5625</v>
      </c>
      <c r="J59" s="13">
        <f>IF(Dietary_Sample[[#This Row],[Aide Hours]]=0,0,Dietary_Sample[[#This Row],[Aide cost estimator]]/Dietary_Sample[[#This Row],[Aide Hours]])</f>
        <v>19.982567682642923</v>
      </c>
      <c r="K5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133754.74077515901</v>
      </c>
      <c r="L59" s="17">
        <f>+Dietary_Sample[[#This Row],[Employee count Sample Data Cook]]/Dietary_Sample[[#This Row],[Total aide &amp; Cook]]*Dietary_Sample[[#This Row],[Diet Hrsn]]</f>
        <v>4886.4375</v>
      </c>
      <c r="M59" s="13">
        <f>IF(Dietary_Sample[[#This Row],[Cook Hours]]=0,0,Dietary_Sample[[#This Row],[Cook cost estimator]]/Dietary_Sample[[#This Row],[Cook Hours]])</f>
        <v>27.37264945579658</v>
      </c>
      <c r="N59" s="12">
        <f>VLOOKUP(A59,'Estimator data 120523'!$A:$F,5,FALSE)</f>
        <v>904054</v>
      </c>
      <c r="O59" s="12">
        <f>VLOOKUP($A59,'SAS Data'!$1:$1048576,MATCH(O$1,'SAS Data'!$3:$3,0),FALSE)</f>
        <v>43435</v>
      </c>
      <c r="P59" s="13">
        <f>+Dietary_Sample[[#This Row],[Cost Estimator]]/Dietary_Sample[[#This Row],[Diet Hrsn]]</f>
        <v>20.813951882122712</v>
      </c>
      <c r="Q59" s="10">
        <f>COUNTIFS('Dietary Detail'!$R:$R,$A59,'Dietary Detail'!$U:$U,RIGHT(Q$1,4))</f>
        <v>71</v>
      </c>
      <c r="R59" s="10">
        <f>COUNTIFS('Dietary Detail'!$R:$R,$A59,'Dietary Detail'!$U:$U,RIGHT(R$1,4))</f>
        <v>9</v>
      </c>
      <c r="S59" s="10">
        <f>+Dietary_Sample[[#This Row],[Employee count Sample Data Aide]]+Dietary_Sample[[#This Row],[Employee count Sample Data Cook]]</f>
        <v>80</v>
      </c>
      <c r="T59" s="13">
        <v>14.68</v>
      </c>
      <c r="U59" s="13">
        <v>18.62</v>
      </c>
      <c r="V59" s="13">
        <v>14.98</v>
      </c>
      <c r="W59" s="13">
        <v>15.493802816901399</v>
      </c>
      <c r="X59" s="13">
        <v>16.670000000000002</v>
      </c>
      <c r="Y59" s="13">
        <v>21.15</v>
      </c>
      <c r="Z59" s="13">
        <v>20.52</v>
      </c>
      <c r="AA59" s="13">
        <v>20.232222222222219</v>
      </c>
      <c r="AB59" s="13">
        <f>IF(AND(Dietary_Sample[[#This Row],[Aide median]]=0,Dietary_Sample[[#This Row],[Cook median]]=0),0,IF(Dietary_Sample[[#This Row],[Aide median]]=0,1,Dietary_Sample[[#This Row],[Cook median]]/Dietary_Sample[[#This Row],[Aide median]]))</f>
        <v>1.369826435246996</v>
      </c>
      <c r="AC59" s="13">
        <f>IF(AND(Dietary_Sample[[#This Row],[Aide average]]=0,Dietary_Sample[[#This Row],[Cook average]]=0),0,IF(Dietary_Sample[[#This Row],[Aide average]]=0,1,Dietary_Sample[[#This Row],[Cook average]]/Dietary_Sample[[#This Row],[Aide average]]))</f>
        <v>1.3058267528841867</v>
      </c>
      <c r="AD59" s="37">
        <f>COUNTIFS('Dietary Detail'!$R:$R,$A59,'Dietary Detail'!$T:$T,"&lt;"&amp;V59,'Dietary Detail'!$U:$U,RIGHT(AD$1,4))</f>
        <v>32</v>
      </c>
      <c r="AE59" s="37">
        <f>COUNTIFS('Dietary Detail'!$R:$R,$A59,'Dietary Detail'!$T:$T,"&lt;"&amp;W59,'Dietary Detail'!$U:$U,RIGHT(AE$1,4))</f>
        <v>50</v>
      </c>
      <c r="AF59" s="37">
        <f>COUNTIFS('Dietary Detail'!$R:$R,$A59,'Dietary Detail'!$T:$T,"&lt;"&amp;$BG$3,'Dietary Detail'!$U:$U,RIGHT(AF$1,4))</f>
        <v>71</v>
      </c>
      <c r="AG59" s="37">
        <f>COUNTIFS('Dietary Detail'!$R:$R,$A59,'Dietary Detail'!$T:$T,"&lt;"&amp;$BG$4,'Dietary Detail'!$U:$U,RIGHT(AG$1,4))</f>
        <v>55</v>
      </c>
      <c r="AH59" s="37">
        <f>COUNTIFS('Dietary Detail'!$R:$R,$A59,'Dietary Detail'!$T:$T,"&lt;"&amp;$BG$5,'Dietary Detail'!$U:$U,RIGHT(AH$1,4))</f>
        <v>56</v>
      </c>
      <c r="AI59" s="37">
        <f>COUNTIFS('Dietary Detail'!$R:$R,$A59,'Dietary Detail'!$T:$T,"&lt;"&amp;Z59,'Dietary Detail'!$U:$U,RIGHT(AI$1,4))</f>
        <v>3</v>
      </c>
      <c r="AJ59" s="37">
        <f>COUNTIFS('Dietary Detail'!$R:$R,$A59,'Dietary Detail'!$T:$T,"&lt;"&amp;AA59,'Dietary Detail'!$U:$U,RIGHT(AJ$1,4))</f>
        <v>1</v>
      </c>
      <c r="AK59" s="37">
        <f>COUNTIFS('Dietary Detail'!$R:$R,$A59,'Dietary Detail'!$T:$T,"&lt;"&amp;$BH$3,'Dietary Detail'!$U:$U,RIGHT(AK$1,4))</f>
        <v>9</v>
      </c>
      <c r="AL59" s="37">
        <f>COUNTIFS('Dietary Detail'!$R:$R,$A59,'Dietary Detail'!$T:$T,"&lt;"&amp;$BH$4,'Dietary Detail'!$U:$U,RIGHT(AL$1,4))</f>
        <v>1</v>
      </c>
      <c r="AM59" s="37">
        <f>COUNTIFS('Dietary Detail'!$R:$R,$A59,'Dietary Detail'!$T:$T,"&lt;"&amp;$BH$5,'Dietary Detail'!$U:$U,RIGHT(AM$1,4))</f>
        <v>1</v>
      </c>
      <c r="AN59" s="12">
        <f>+Dietary_Sample[[#This Row],[Aide median]]*Dietary_Sample[[#This Row],[Aide Hours]]</f>
        <v>577457.46625000006</v>
      </c>
      <c r="AO59" s="12">
        <f>+Dietary_Sample[[#This Row],[Aide average]]*Dietary_Sample[[#This Row],[Aide Hours]]</f>
        <v>597263.82624999958</v>
      </c>
      <c r="AP59" s="12">
        <f>+Dietary_Sample[[#This Row],[Cook median]]*Dietary_Sample[[#This Row],[Cook Hours]]</f>
        <v>100269.69749999999</v>
      </c>
      <c r="AQ59" s="12">
        <f>+Dietary_Sample[[#This Row],[Cook average]]*Dietary_Sample[[#This Row],[Cook Hours]]</f>
        <v>98863.48937499999</v>
      </c>
      <c r="AR59" s="12">
        <f>+Dietary_Sample[[#This Row],[Est average Aide wage cost]]+Dietary_Sample[[#This Row],[Est average Cook wage cost]]</f>
        <v>696127.31562499958</v>
      </c>
      <c r="AS59" s="12">
        <f>+Dietary_Sample[[#This Row],[Est average Aide wage cost]]+Dietary_Sample[[#This Row],[Est average Cook wage cost]]</f>
        <v>696127.31562499958</v>
      </c>
      <c r="AT59" s="14">
        <f>IF(Dietary_Sample[[#This Row],[Aide cost estimator]]=0,0,Dietary_Sample[[#This Row],[Est median Aide wage cost ]]/Dietary_Sample[[#This Row],[Aide cost estimator]])</f>
        <v>0.74965340980737893</v>
      </c>
      <c r="AU59" s="14">
        <f>IF(Dietary_Sample[[#This Row],[Aide cost estimator]]=0,0,Dietary_Sample[[#This Row],[Est average Aide wage cost]]/Dietary_Sample[[#This Row],[Aide cost estimator]])</f>
        <v>0.77536596212104836</v>
      </c>
      <c r="AV59" s="14">
        <f>IF(Dietary_Sample[[#This Row],[Cook cost estimator]]=0,0,Dietary_Sample[[#This Row],[Est median Cook wage cost]]/Dietary_Sample[[#This Row],[Cook cost estimator]])</f>
        <v>0.74965340980737882</v>
      </c>
      <c r="AW59" s="14">
        <f>IF(Dietary_Sample[[#This Row],[Cook cost estimator]]=0,0,Dietary_Sample[[#This Row],[Est average Cook wage cost]]/Dietary_Sample[[#This Row],[Cook cost estimator]])</f>
        <v>0.73914007684549277</v>
      </c>
      <c r="AX59" s="14">
        <f>IF(Dietary_Sample[[#This Row],[Aide median]]=0,0,Dietary_Sample[[#This Row],[Aide min]]/Dietary_Sample[[#This Row],[Aide median]])</f>
        <v>0.97997329773030706</v>
      </c>
      <c r="AY59" s="14">
        <f>IF(Dietary_Sample[[#This Row],[Aide median]]=0,0,Dietary_Sample[[#This Row],[Aide max]]/Dietary_Sample[[#This Row],[Aide median]])</f>
        <v>1.2429906542056075</v>
      </c>
      <c r="AZ59" s="14">
        <f>IF(Dietary_Sample[[#This Row],[Cook median]]=0,0,Dietary_Sample[[#This Row],[Cook min]]/Dietary_Sample[[#This Row],[Cook median]])</f>
        <v>0.81237816764132564</v>
      </c>
      <c r="BA59" s="14">
        <f>IF(Dietary_Sample[[#This Row],[Cook median]]=0,0,Dietary_Sample[[#This Row],[Cook max]]/Dietary_Sample[[#This Row],[Cook median]])</f>
        <v>1.0307017543859649</v>
      </c>
      <c r="BB59" s="12">
        <f>VLOOKUP(A59,Summary!$1:$1048576,2,FALSE)</f>
        <v>3</v>
      </c>
    </row>
    <row r="60" spans="1:54" x14ac:dyDescent="0.55000000000000004">
      <c r="A60" s="10">
        <v>658</v>
      </c>
      <c r="B60" s="10" t="s">
        <v>54</v>
      </c>
      <c r="C60" s="10">
        <f>VLOOKUP($A60,'SAS Data'!$1:$1048576,MATCH(C$1,'SAS Data'!$3:$3,0),FALSE)</f>
        <v>3</v>
      </c>
      <c r="D60" s="10">
        <f>VLOOKUP($A60,'SAS Data'!$1:$1048576,MATCH(D$1,'SAS Data'!$3:$3,0),FALSE)</f>
        <v>16</v>
      </c>
      <c r="E60" s="10">
        <f t="shared" si="1"/>
        <v>19</v>
      </c>
      <c r="F60" s="11">
        <f>VLOOKUP($A60,'SAS Data'!$1:$1048576,MATCH(F$1,'SAS Data'!$3:$3,0),FALSE)</f>
        <v>9.5281581385771634</v>
      </c>
      <c r="G60" s="12">
        <f>+Dietary_Sample[[#This Row],[Diet Cph]]*Dietary_Sample[[#This Row],[Diet Hrsn]]</f>
        <v>277640.99999999994</v>
      </c>
      <c r="H6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258369.82165605095</v>
      </c>
      <c r="I60" s="17">
        <f>+Dietary_Sample[[#This Row],[Employee count Sample Data Aide]]/Dietary_Sample[[#This Row],[Total aide &amp; Cook]]*Dietary_Sample[[#This Row],[Diet Hrsn]]</f>
        <v>27424.941176470587</v>
      </c>
      <c r="J60" s="13">
        <f>IF(Dietary_Sample[[#This Row],[Aide Hours]]=0,0,Dietary_Sample[[#This Row],[Aide cost estimator]]/Dietary_Sample[[#This Row],[Aide Hours]])</f>
        <v>9.420979975618728</v>
      </c>
      <c r="K6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19271.178343949043</v>
      </c>
      <c r="L60" s="17">
        <f>+Dietary_Sample[[#This Row],[Employee count Sample Data Cook]]/Dietary_Sample[[#This Row],[Total aide &amp; Cook]]*Dietary_Sample[[#This Row],[Diet Hrsn]]</f>
        <v>1714.0588235294117</v>
      </c>
      <c r="M60" s="13">
        <f>IF(Dietary_Sample[[#This Row],[Cook Hours]]=0,0,Dietary_Sample[[#This Row],[Cook cost estimator]]/Dietary_Sample[[#This Row],[Cook Hours]])</f>
        <v>11.243008745912137</v>
      </c>
      <c r="N60" s="12">
        <f>VLOOKUP(A60,'Estimator data 120523'!$A:$F,5,FALSE)</f>
        <v>277641</v>
      </c>
      <c r="O60" s="12">
        <f>VLOOKUP($A60,'SAS Data'!$1:$1048576,MATCH(O$1,'SAS Data'!$3:$3,0),FALSE)</f>
        <v>29139</v>
      </c>
      <c r="P60" s="13">
        <f>+Dietary_Sample[[#This Row],[Cost Estimator]]/Dietary_Sample[[#This Row],[Diet Hrsn]]</f>
        <v>9.5281581385771652</v>
      </c>
      <c r="Q60" s="10">
        <f>COUNTIFS('Dietary Detail'!$R:$R,$A60,'Dietary Detail'!$U:$U,RIGHT(Q$1,4))</f>
        <v>16</v>
      </c>
      <c r="R60" s="10">
        <f>COUNTIFS('Dietary Detail'!$R:$R,$A60,'Dietary Detail'!$U:$U,RIGHT(R$1,4))</f>
        <v>1</v>
      </c>
      <c r="S60" s="10">
        <f>+Dietary_Sample[[#This Row],[Employee count Sample Data Aide]]+Dietary_Sample[[#This Row],[Employee count Sample Data Cook]]</f>
        <v>17</v>
      </c>
      <c r="T60" s="13">
        <v>12.55</v>
      </c>
      <c r="U60" s="13">
        <v>19</v>
      </c>
      <c r="V60" s="13">
        <v>14.245000000000001</v>
      </c>
      <c r="W60" s="13">
        <v>14.195000000000002</v>
      </c>
      <c r="X60" s="13">
        <v>17</v>
      </c>
      <c r="Y60" s="13">
        <v>17</v>
      </c>
      <c r="Z60" s="13">
        <v>17</v>
      </c>
      <c r="AA60" s="13">
        <v>17</v>
      </c>
      <c r="AB60" s="13">
        <f>IF(AND(Dietary_Sample[[#This Row],[Aide median]]=0,Dietary_Sample[[#This Row],[Cook median]]=0),0,IF(Dietary_Sample[[#This Row],[Aide median]]=0,1,Dietary_Sample[[#This Row],[Cook median]]/Dietary_Sample[[#This Row],[Aide median]]))</f>
        <v>1.1934011934011932</v>
      </c>
      <c r="AC60" s="13">
        <f>IF(AND(Dietary_Sample[[#This Row],[Aide average]]=0,Dietary_Sample[[#This Row],[Cook average]]=0),0,IF(Dietary_Sample[[#This Row],[Aide average]]=0,1,Dietary_Sample[[#This Row],[Cook average]]/Dietary_Sample[[#This Row],[Aide average]]))</f>
        <v>1.1976047904191616</v>
      </c>
      <c r="AD60" s="37">
        <f>COUNTIFS('Dietary Detail'!$R:$R,$A60,'Dietary Detail'!$T:$T,"&lt;"&amp;V60,'Dietary Detail'!$U:$U,RIGHT(AD$1,4))</f>
        <v>8</v>
      </c>
      <c r="AE60" s="37">
        <f>COUNTIFS('Dietary Detail'!$R:$R,$A60,'Dietary Detail'!$T:$T,"&lt;"&amp;W60,'Dietary Detail'!$U:$U,RIGHT(AE$1,4))</f>
        <v>8</v>
      </c>
      <c r="AF60" s="37">
        <f>COUNTIFS('Dietary Detail'!$R:$R,$A60,'Dietary Detail'!$T:$T,"&lt;"&amp;$BG$3,'Dietary Detail'!$U:$U,RIGHT(AF$1,4))</f>
        <v>16</v>
      </c>
      <c r="AG60" s="37">
        <f>COUNTIFS('Dietary Detail'!$R:$R,$A60,'Dietary Detail'!$T:$T,"&lt;"&amp;$BG$4,'Dietary Detail'!$U:$U,RIGHT(AG$1,4))</f>
        <v>15</v>
      </c>
      <c r="AH60" s="37">
        <f>COUNTIFS('Dietary Detail'!$R:$R,$A60,'Dietary Detail'!$T:$T,"&lt;"&amp;$BG$5,'Dietary Detail'!$U:$U,RIGHT(AH$1,4))</f>
        <v>15</v>
      </c>
      <c r="AI60" s="37">
        <f>COUNTIFS('Dietary Detail'!$R:$R,$A60,'Dietary Detail'!$T:$T,"&lt;"&amp;Z60,'Dietary Detail'!$U:$U,RIGHT(AI$1,4))</f>
        <v>0</v>
      </c>
      <c r="AJ60" s="37">
        <f>COUNTIFS('Dietary Detail'!$R:$R,$A60,'Dietary Detail'!$T:$T,"&lt;"&amp;AA60,'Dietary Detail'!$U:$U,RIGHT(AJ$1,4))</f>
        <v>0</v>
      </c>
      <c r="AK60" s="37">
        <f>COUNTIFS('Dietary Detail'!$R:$R,$A60,'Dietary Detail'!$T:$T,"&lt;"&amp;$BH$3,'Dietary Detail'!$U:$U,RIGHT(AK$1,4))</f>
        <v>1</v>
      </c>
      <c r="AL60" s="37">
        <f>COUNTIFS('Dietary Detail'!$R:$R,$A60,'Dietary Detail'!$T:$T,"&lt;"&amp;$BH$4,'Dietary Detail'!$U:$U,RIGHT(AL$1,4))</f>
        <v>1</v>
      </c>
      <c r="AM60" s="37">
        <f>COUNTIFS('Dietary Detail'!$R:$R,$A60,'Dietary Detail'!$T:$T,"&lt;"&amp;$BH$5,'Dietary Detail'!$U:$U,RIGHT(AM$1,4))</f>
        <v>1</v>
      </c>
      <c r="AN60" s="12">
        <f>+Dietary_Sample[[#This Row],[Aide median]]*Dietary_Sample[[#This Row],[Aide Hours]]</f>
        <v>390668.28705882357</v>
      </c>
      <c r="AO60" s="12">
        <f>+Dietary_Sample[[#This Row],[Aide average]]*Dietary_Sample[[#This Row],[Aide Hours]]</f>
        <v>389297.04000000004</v>
      </c>
      <c r="AP60" s="12">
        <f>+Dietary_Sample[[#This Row],[Cook median]]*Dietary_Sample[[#This Row],[Cook Hours]]</f>
        <v>29139</v>
      </c>
      <c r="AQ60" s="12">
        <f>+Dietary_Sample[[#This Row],[Cook average]]*Dietary_Sample[[#This Row],[Cook Hours]]</f>
        <v>29139</v>
      </c>
      <c r="AR60" s="12">
        <f>+Dietary_Sample[[#This Row],[Est average Aide wage cost]]+Dietary_Sample[[#This Row],[Est average Cook wage cost]]</f>
        <v>418436.04000000004</v>
      </c>
      <c r="AS60" s="12">
        <f>+Dietary_Sample[[#This Row],[Est average Aide wage cost]]+Dietary_Sample[[#This Row],[Est average Cook wage cost]]</f>
        <v>418436.04000000004</v>
      </c>
      <c r="AT60" s="14">
        <f>IF(Dietary_Sample[[#This Row],[Aide cost estimator]]=0,0,Dietary_Sample[[#This Row],[Est median Aide wage cost ]]/Dietary_Sample[[#This Row],[Aide cost estimator]])</f>
        <v>1.5120507672095389</v>
      </c>
      <c r="AU60" s="14">
        <f>IF(Dietary_Sample[[#This Row],[Aide cost estimator]]=0,0,Dietary_Sample[[#This Row],[Est average Aide wage cost]]/Dietary_Sample[[#This Row],[Aide cost estimator]])</f>
        <v>1.50674346370933</v>
      </c>
      <c r="AV60" s="14">
        <f>IF(Dietary_Sample[[#This Row],[Cook cost estimator]]=0,0,Dietary_Sample[[#This Row],[Est median Cook wage cost]]/Dietary_Sample[[#This Row],[Cook cost estimator]])</f>
        <v>1.5120507672095389</v>
      </c>
      <c r="AW60" s="14">
        <f>IF(Dietary_Sample[[#This Row],[Cook cost estimator]]=0,0,Dietary_Sample[[#This Row],[Est average Cook wage cost]]/Dietary_Sample[[#This Row],[Cook cost estimator]])</f>
        <v>1.5120507672095389</v>
      </c>
      <c r="AX60" s="14">
        <f>IF(Dietary_Sample[[#This Row],[Aide median]]=0,0,Dietary_Sample[[#This Row],[Aide min]]/Dietary_Sample[[#This Row],[Aide median]])</f>
        <v>0.88101088101088099</v>
      </c>
      <c r="AY60" s="14">
        <f>IF(Dietary_Sample[[#This Row],[Aide median]]=0,0,Dietary_Sample[[#This Row],[Aide max]]/Dietary_Sample[[#This Row],[Aide median]])</f>
        <v>1.3338013338013337</v>
      </c>
      <c r="AZ60" s="14">
        <f>IF(Dietary_Sample[[#This Row],[Cook median]]=0,0,Dietary_Sample[[#This Row],[Cook min]]/Dietary_Sample[[#This Row],[Cook median]])</f>
        <v>1</v>
      </c>
      <c r="BA60" s="14">
        <f>IF(Dietary_Sample[[#This Row],[Cook median]]=0,0,Dietary_Sample[[#This Row],[Cook max]]/Dietary_Sample[[#This Row],[Cook median]])</f>
        <v>1</v>
      </c>
      <c r="BB60" s="12">
        <f>VLOOKUP(A60,Summary!$1:$1048576,2,FALSE)</f>
        <v>1</v>
      </c>
    </row>
    <row r="61" spans="1:54" x14ac:dyDescent="0.55000000000000004">
      <c r="A61" s="10">
        <v>690</v>
      </c>
      <c r="B61" s="10" t="s">
        <v>54</v>
      </c>
      <c r="C61" s="10">
        <f>VLOOKUP($A61,'SAS Data'!$1:$1048576,MATCH(C$1,'SAS Data'!$3:$3,0),FALSE)</f>
        <v>6</v>
      </c>
      <c r="D61" s="10">
        <f>VLOOKUP($A61,'SAS Data'!$1:$1048576,MATCH(D$1,'SAS Data'!$3:$3,0),FALSE)</f>
        <v>4</v>
      </c>
      <c r="E61" s="10">
        <f t="shared" si="1"/>
        <v>10</v>
      </c>
      <c r="F61" s="11">
        <f>VLOOKUP($A61,'SAS Data'!$1:$1048576,MATCH(F$1,'SAS Data'!$3:$3,0),FALSE)</f>
        <v>21.264280274181264</v>
      </c>
      <c r="G61" s="12">
        <f>+Dietary_Sample[[#This Row],[Diet Cph]]*Dietary_Sample[[#This Row],[Diet Hrsn]]</f>
        <v>307120</v>
      </c>
      <c r="H6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225489.05677350567</v>
      </c>
      <c r="I61" s="17">
        <f>+Dietary_Sample[[#This Row],[Employee count Sample Data Aide]]/Dietary_Sample[[#This Row],[Total aide &amp; Cook]]*Dietary_Sample[[#This Row],[Diet Hrsn]]</f>
        <v>10832.25</v>
      </c>
      <c r="J61" s="13">
        <f>IF(Dietary_Sample[[#This Row],[Aide Hours]]=0,0,Dietary_Sample[[#This Row],[Aide cost estimator]]/Dietary_Sample[[#This Row],[Aide Hours]])</f>
        <v>20.816456117012226</v>
      </c>
      <c r="K6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81441.943226494288</v>
      </c>
      <c r="L61" s="17">
        <f>+Dietary_Sample[[#This Row],[Employee count Sample Data Cook]]/Dietary_Sample[[#This Row],[Total aide &amp; Cook]]*Dietary_Sample[[#This Row],[Diet Hrsn]]</f>
        <v>3610.75</v>
      </c>
      <c r="M61" s="13">
        <f>IF(Dietary_Sample[[#This Row],[Cook Hours]]=0,0,Dietary_Sample[[#This Row],[Cook cost estimator]]/Dietary_Sample[[#This Row],[Cook Hours]])</f>
        <v>22.555409049780319</v>
      </c>
      <c r="N61" s="12">
        <f>VLOOKUP(A61,'Estimator data 120523'!$A:$F,5,FALSE)</f>
        <v>306931</v>
      </c>
      <c r="O61" s="12">
        <f>VLOOKUP($A61,'SAS Data'!$1:$1048576,MATCH(O$1,'SAS Data'!$3:$3,0),FALSE)</f>
        <v>14443</v>
      </c>
      <c r="P61" s="13">
        <f>+Dietary_Sample[[#This Row],[Cost Estimator]]/Dietary_Sample[[#This Row],[Diet Hrsn]]</f>
        <v>21.251194350204251</v>
      </c>
      <c r="Q61" s="10">
        <f>COUNTIFS('Dietary Detail'!$R:$R,$A61,'Dietary Detail'!$U:$U,RIGHT(Q$1,4))</f>
        <v>6</v>
      </c>
      <c r="R61" s="10">
        <f>COUNTIFS('Dietary Detail'!$R:$R,$A61,'Dietary Detail'!$U:$U,RIGHT(R$1,4))</f>
        <v>2</v>
      </c>
      <c r="S61" s="10">
        <f>+Dietary_Sample[[#This Row],[Employee count Sample Data Aide]]+Dietary_Sample[[#This Row],[Employee count Sample Data Cook]]</f>
        <v>8</v>
      </c>
      <c r="T61" s="13">
        <v>16.100000000000001</v>
      </c>
      <c r="U61" s="13">
        <v>18.75</v>
      </c>
      <c r="V61" s="13">
        <v>18.375</v>
      </c>
      <c r="W61" s="13">
        <v>17.855</v>
      </c>
      <c r="X61" s="13">
        <v>19.5</v>
      </c>
      <c r="Y61" s="13">
        <v>20.32</v>
      </c>
      <c r="Z61" s="13">
        <v>19.91</v>
      </c>
      <c r="AA61" s="13">
        <v>19.91</v>
      </c>
      <c r="AB61" s="13">
        <f>IF(AND(Dietary_Sample[[#This Row],[Aide median]]=0,Dietary_Sample[[#This Row],[Cook median]]=0),0,IF(Dietary_Sample[[#This Row],[Aide median]]=0,1,Dietary_Sample[[#This Row],[Cook median]]/Dietary_Sample[[#This Row],[Aide median]]))</f>
        <v>1.0835374149659864</v>
      </c>
      <c r="AC61" s="13">
        <f>IF(AND(Dietary_Sample[[#This Row],[Aide average]]=0,Dietary_Sample[[#This Row],[Cook average]]=0),0,IF(Dietary_Sample[[#This Row],[Aide average]]=0,1,Dietary_Sample[[#This Row],[Cook average]]/Dietary_Sample[[#This Row],[Aide average]]))</f>
        <v>1.115093811257351</v>
      </c>
      <c r="AD61" s="37">
        <f>COUNTIFS('Dietary Detail'!$R:$R,$A61,'Dietary Detail'!$T:$T,"&lt;"&amp;V61,'Dietary Detail'!$U:$U,RIGHT(AD$1,4))</f>
        <v>3</v>
      </c>
      <c r="AE61" s="37">
        <f>COUNTIFS('Dietary Detail'!$R:$R,$A61,'Dietary Detail'!$T:$T,"&lt;"&amp;W61,'Dietary Detail'!$U:$U,RIGHT(AE$1,4))</f>
        <v>2</v>
      </c>
      <c r="AF61" s="37">
        <f>COUNTIFS('Dietary Detail'!$R:$R,$A61,'Dietary Detail'!$T:$T,"&lt;"&amp;$BG$3,'Dietary Detail'!$U:$U,RIGHT(AF$1,4))</f>
        <v>6</v>
      </c>
      <c r="AG61" s="37">
        <f>COUNTIFS('Dietary Detail'!$R:$R,$A61,'Dietary Detail'!$T:$T,"&lt;"&amp;$BG$4,'Dietary Detail'!$U:$U,RIGHT(AG$1,4))</f>
        <v>1</v>
      </c>
      <c r="AH61" s="37">
        <f>COUNTIFS('Dietary Detail'!$R:$R,$A61,'Dietary Detail'!$T:$T,"&lt;"&amp;$BG$5,'Dietary Detail'!$U:$U,RIGHT(AH$1,4))</f>
        <v>1</v>
      </c>
      <c r="AI61" s="37">
        <f>COUNTIFS('Dietary Detail'!$R:$R,$A61,'Dietary Detail'!$T:$T,"&lt;"&amp;Z61,'Dietary Detail'!$U:$U,RIGHT(AI$1,4))</f>
        <v>1</v>
      </c>
      <c r="AJ61" s="37">
        <f>COUNTIFS('Dietary Detail'!$R:$R,$A61,'Dietary Detail'!$T:$T,"&lt;"&amp;AA61,'Dietary Detail'!$U:$U,RIGHT(AJ$1,4))</f>
        <v>1</v>
      </c>
      <c r="AK61" s="37">
        <f>COUNTIFS('Dietary Detail'!$R:$R,$A61,'Dietary Detail'!$T:$T,"&lt;"&amp;$BH$3,'Dietary Detail'!$U:$U,RIGHT(AK$1,4))</f>
        <v>2</v>
      </c>
      <c r="AL61" s="37">
        <f>COUNTIFS('Dietary Detail'!$R:$R,$A61,'Dietary Detail'!$T:$T,"&lt;"&amp;$BH$4,'Dietary Detail'!$U:$U,RIGHT(AL$1,4))</f>
        <v>1</v>
      </c>
      <c r="AM61" s="37">
        <f>COUNTIFS('Dietary Detail'!$R:$R,$A61,'Dietary Detail'!$T:$T,"&lt;"&amp;$BH$5,'Dietary Detail'!$U:$U,RIGHT(AM$1,4))</f>
        <v>1</v>
      </c>
      <c r="AN61" s="12">
        <f>+Dietary_Sample[[#This Row],[Aide median]]*Dietary_Sample[[#This Row],[Aide Hours]]</f>
        <v>199042.59375</v>
      </c>
      <c r="AO61" s="12">
        <f>+Dietary_Sample[[#This Row],[Aide average]]*Dietary_Sample[[#This Row],[Aide Hours]]</f>
        <v>193409.82375000001</v>
      </c>
      <c r="AP61" s="12">
        <f>+Dietary_Sample[[#This Row],[Cook median]]*Dietary_Sample[[#This Row],[Cook Hours]]</f>
        <v>71890.032500000001</v>
      </c>
      <c r="AQ61" s="12">
        <f>+Dietary_Sample[[#This Row],[Cook average]]*Dietary_Sample[[#This Row],[Cook Hours]]</f>
        <v>71890.032500000001</v>
      </c>
      <c r="AR61" s="12">
        <f>+Dietary_Sample[[#This Row],[Est average Aide wage cost]]+Dietary_Sample[[#This Row],[Est average Cook wage cost]]</f>
        <v>265299.85625000001</v>
      </c>
      <c r="AS61" s="12">
        <f>+Dietary_Sample[[#This Row],[Est average Aide wage cost]]+Dietary_Sample[[#This Row],[Est average Cook wage cost]]</f>
        <v>265299.85625000001</v>
      </c>
      <c r="AT61" s="14">
        <f>IF(Dietary_Sample[[#This Row],[Aide cost estimator]]=0,0,Dietary_Sample[[#This Row],[Est median Aide wage cost ]]/Dietary_Sample[[#This Row],[Aide cost estimator]])</f>
        <v>0.88271509313168117</v>
      </c>
      <c r="AU61" s="14">
        <f>IF(Dietary_Sample[[#This Row],[Aide cost estimator]]=0,0,Dietary_Sample[[#This Row],[Est average Aide wage cost]]/Dietary_Sample[[#This Row],[Aide cost estimator]])</f>
        <v>0.85773485648251258</v>
      </c>
      <c r="AV61" s="14">
        <f>IF(Dietary_Sample[[#This Row],[Cook cost estimator]]=0,0,Dietary_Sample[[#This Row],[Est median Cook wage cost]]/Dietary_Sample[[#This Row],[Cook cost estimator]])</f>
        <v>0.88271509313168128</v>
      </c>
      <c r="AW61" s="14">
        <f>IF(Dietary_Sample[[#This Row],[Cook cost estimator]]=0,0,Dietary_Sample[[#This Row],[Est average Cook wage cost]]/Dietary_Sample[[#This Row],[Cook cost estimator]])</f>
        <v>0.88271509313168128</v>
      </c>
      <c r="AX61" s="14">
        <f>IF(Dietary_Sample[[#This Row],[Aide median]]=0,0,Dietary_Sample[[#This Row],[Aide min]]/Dietary_Sample[[#This Row],[Aide median]])</f>
        <v>0.8761904761904763</v>
      </c>
      <c r="AY61" s="14">
        <f>IF(Dietary_Sample[[#This Row],[Aide median]]=0,0,Dietary_Sample[[#This Row],[Aide max]]/Dietary_Sample[[#This Row],[Aide median]])</f>
        <v>1.0204081632653061</v>
      </c>
      <c r="AZ61" s="14">
        <f>IF(Dietary_Sample[[#This Row],[Cook median]]=0,0,Dietary_Sample[[#This Row],[Cook min]]/Dietary_Sample[[#This Row],[Cook median]])</f>
        <v>0.97940733299849325</v>
      </c>
      <c r="BA61" s="14">
        <f>IF(Dietary_Sample[[#This Row],[Cook median]]=0,0,Dietary_Sample[[#This Row],[Cook max]]/Dietary_Sample[[#This Row],[Cook median]])</f>
        <v>1.0205926670015069</v>
      </c>
      <c r="BB61" s="12">
        <f>VLOOKUP(A61,Summary!$1:$1048576,2,FALSE)</f>
        <v>3</v>
      </c>
    </row>
    <row r="62" spans="1:54" x14ac:dyDescent="0.55000000000000004">
      <c r="A62" s="10">
        <v>701</v>
      </c>
      <c r="B62" s="10" t="s">
        <v>54</v>
      </c>
      <c r="C62" s="10">
        <f>VLOOKUP($A62,'SAS Data'!$1:$1048576,MATCH(C$1,'SAS Data'!$3:$3,0),FALSE)</f>
        <v>3</v>
      </c>
      <c r="D62" s="10">
        <f>VLOOKUP($A62,'SAS Data'!$1:$1048576,MATCH(D$1,'SAS Data'!$3:$3,0),FALSE)</f>
        <v>5</v>
      </c>
      <c r="E62" s="10">
        <f t="shared" si="1"/>
        <v>8</v>
      </c>
      <c r="F62" s="11">
        <f>VLOOKUP($A62,'SAS Data'!$1:$1048576,MATCH(F$1,'SAS Data'!$3:$3,0),FALSE)</f>
        <v>18.213921154523053</v>
      </c>
      <c r="G62" s="12">
        <f>+Dietary_Sample[[#This Row],[Diet Cph]]*Dietary_Sample[[#This Row],[Diet Hrsn]]</f>
        <v>206982.99999999997</v>
      </c>
      <c r="H6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26074.59212146081</v>
      </c>
      <c r="I62" s="17">
        <f>+Dietary_Sample[[#This Row],[Employee count Sample Data Aide]]/Dietary_Sample[[#This Row],[Total aide &amp; Cook]]*Dietary_Sample[[#This Row],[Diet Hrsn]]</f>
        <v>1623.4285714285713</v>
      </c>
      <c r="J62" s="13">
        <f>IF(Dietary_Sample[[#This Row],[Aide Hours]]=0,0,Dietary_Sample[[#This Row],[Aide cost estimator]]/Dietary_Sample[[#This Row],[Aide Hours]])</f>
        <v>16.061434780906872</v>
      </c>
      <c r="K6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180908.40787853918</v>
      </c>
      <c r="L62" s="17">
        <f>+Dietary_Sample[[#This Row],[Employee count Sample Data Cook]]/Dietary_Sample[[#This Row],[Total aide &amp; Cook]]*Dietary_Sample[[#This Row],[Diet Hrsn]]</f>
        <v>9740.5714285714275</v>
      </c>
      <c r="M62" s="13">
        <f>IF(Dietary_Sample[[#This Row],[Cook Hours]]=0,0,Dietary_Sample[[#This Row],[Cook cost estimator]]/Dietary_Sample[[#This Row],[Cook Hours]])</f>
        <v>18.572668883459087</v>
      </c>
      <c r="N62" s="12">
        <f>VLOOKUP(A62,'Estimator data 120523'!$A:$F,5,FALSE)</f>
        <v>206983</v>
      </c>
      <c r="O62" s="12">
        <f>VLOOKUP($A62,'SAS Data'!$1:$1048576,MATCH(O$1,'SAS Data'!$3:$3,0),FALSE)</f>
        <v>11364</v>
      </c>
      <c r="P62" s="13">
        <f>+Dietary_Sample[[#This Row],[Cost Estimator]]/Dietary_Sample[[#This Row],[Diet Hrsn]]</f>
        <v>18.213921154523057</v>
      </c>
      <c r="Q62" s="10">
        <f>COUNTIFS('Dietary Detail'!$R:$R,$A62,'Dietary Detail'!$U:$U,RIGHT(Q$1,4))</f>
        <v>1</v>
      </c>
      <c r="R62" s="10">
        <f>COUNTIFS('Dietary Detail'!$R:$R,$A62,'Dietary Detail'!$U:$U,RIGHT(R$1,4))</f>
        <v>6</v>
      </c>
      <c r="S62" s="10">
        <f>+Dietary_Sample[[#This Row],[Employee count Sample Data Aide]]+Dietary_Sample[[#This Row],[Employee count Sample Data Cook]]</f>
        <v>7</v>
      </c>
      <c r="T62" s="13">
        <v>15.35</v>
      </c>
      <c r="U62" s="13">
        <v>15.35</v>
      </c>
      <c r="V62" s="13">
        <v>15.35</v>
      </c>
      <c r="W62" s="13">
        <v>15.35</v>
      </c>
      <c r="X62" s="13">
        <v>16.5</v>
      </c>
      <c r="Y62" s="13">
        <v>18.45</v>
      </c>
      <c r="Z62" s="13">
        <v>17.75</v>
      </c>
      <c r="AA62" s="13">
        <v>17.525000000000002</v>
      </c>
      <c r="AB62" s="13">
        <f>IF(AND(Dietary_Sample[[#This Row],[Aide median]]=0,Dietary_Sample[[#This Row],[Cook median]]=0),0,IF(Dietary_Sample[[#This Row],[Aide median]]=0,1,Dietary_Sample[[#This Row],[Cook median]]/Dietary_Sample[[#This Row],[Aide median]]))</f>
        <v>1.1563517915309447</v>
      </c>
      <c r="AC62" s="13">
        <f>IF(AND(Dietary_Sample[[#This Row],[Aide average]]=0,Dietary_Sample[[#This Row],[Cook average]]=0),0,IF(Dietary_Sample[[#This Row],[Aide average]]=0,1,Dietary_Sample[[#This Row],[Cook average]]/Dietary_Sample[[#This Row],[Aide average]]))</f>
        <v>1.1416938110749186</v>
      </c>
      <c r="AD62" s="37">
        <f>COUNTIFS('Dietary Detail'!$R:$R,$A62,'Dietary Detail'!$T:$T,"&lt;"&amp;V62,'Dietary Detail'!$U:$U,RIGHT(AD$1,4))</f>
        <v>0</v>
      </c>
      <c r="AE62" s="37">
        <f>COUNTIFS('Dietary Detail'!$R:$R,$A62,'Dietary Detail'!$T:$T,"&lt;"&amp;W62,'Dietary Detail'!$U:$U,RIGHT(AE$1,4))</f>
        <v>0</v>
      </c>
      <c r="AF62" s="37">
        <f>COUNTIFS('Dietary Detail'!$R:$R,$A62,'Dietary Detail'!$T:$T,"&lt;"&amp;$BG$3,'Dietary Detail'!$U:$U,RIGHT(AF$1,4))</f>
        <v>1</v>
      </c>
      <c r="AG62" s="37">
        <f>COUNTIFS('Dietary Detail'!$R:$R,$A62,'Dietary Detail'!$T:$T,"&lt;"&amp;$BG$4,'Dietary Detail'!$U:$U,RIGHT(AG$1,4))</f>
        <v>1</v>
      </c>
      <c r="AH62" s="37">
        <f>COUNTIFS('Dietary Detail'!$R:$R,$A62,'Dietary Detail'!$T:$T,"&lt;"&amp;$BG$5,'Dietary Detail'!$U:$U,RIGHT(AH$1,4))</f>
        <v>1</v>
      </c>
      <c r="AI62" s="37">
        <f>COUNTIFS('Dietary Detail'!$R:$R,$A62,'Dietary Detail'!$T:$T,"&lt;"&amp;Z62,'Dietary Detail'!$U:$U,RIGHT(AI$1,4))</f>
        <v>3</v>
      </c>
      <c r="AJ62" s="37">
        <f>COUNTIFS('Dietary Detail'!$R:$R,$A62,'Dietary Detail'!$T:$T,"&lt;"&amp;AA62,'Dietary Detail'!$U:$U,RIGHT(AJ$1,4))</f>
        <v>3</v>
      </c>
      <c r="AK62" s="37">
        <f>COUNTIFS('Dietary Detail'!$R:$R,$A62,'Dietary Detail'!$T:$T,"&lt;"&amp;$BH$3,'Dietary Detail'!$U:$U,RIGHT(AK$1,4))</f>
        <v>6</v>
      </c>
      <c r="AL62" s="37">
        <f>COUNTIFS('Dietary Detail'!$R:$R,$A62,'Dietary Detail'!$T:$T,"&lt;"&amp;$BH$4,'Dietary Detail'!$U:$U,RIGHT(AL$1,4))</f>
        <v>6</v>
      </c>
      <c r="AM62" s="37">
        <f>COUNTIFS('Dietary Detail'!$R:$R,$A62,'Dietary Detail'!$T:$T,"&lt;"&amp;$BH$5,'Dietary Detail'!$U:$U,RIGHT(AM$1,4))</f>
        <v>6</v>
      </c>
      <c r="AN62" s="12">
        <f>+Dietary_Sample[[#This Row],[Aide median]]*Dietary_Sample[[#This Row],[Aide Hours]]</f>
        <v>24919.62857142857</v>
      </c>
      <c r="AO62" s="12">
        <f>+Dietary_Sample[[#This Row],[Aide average]]*Dietary_Sample[[#This Row],[Aide Hours]]</f>
        <v>24919.62857142857</v>
      </c>
      <c r="AP62" s="12">
        <f>+Dietary_Sample[[#This Row],[Cook median]]*Dietary_Sample[[#This Row],[Cook Hours]]</f>
        <v>172895.14285714284</v>
      </c>
      <c r="AQ62" s="12">
        <f>+Dietary_Sample[[#This Row],[Cook average]]*Dietary_Sample[[#This Row],[Cook Hours]]</f>
        <v>170703.51428571428</v>
      </c>
      <c r="AR62" s="12">
        <f>+Dietary_Sample[[#This Row],[Est average Aide wage cost]]+Dietary_Sample[[#This Row],[Est average Cook wage cost]]</f>
        <v>195623.14285714284</v>
      </c>
      <c r="AS62" s="12">
        <f>+Dietary_Sample[[#This Row],[Est average Aide wage cost]]+Dietary_Sample[[#This Row],[Est average Cook wage cost]]</f>
        <v>195623.14285714284</v>
      </c>
      <c r="AT62" s="14">
        <f>IF(Dietary_Sample[[#This Row],[Aide cost estimator]]=0,0,Dietary_Sample[[#This Row],[Est median Aide wage cost ]]/Dietary_Sample[[#This Row],[Aide cost estimator]])</f>
        <v>0.95570540299720963</v>
      </c>
      <c r="AU62" s="14">
        <f>IF(Dietary_Sample[[#This Row],[Aide cost estimator]]=0,0,Dietary_Sample[[#This Row],[Est average Aide wage cost]]/Dietary_Sample[[#This Row],[Aide cost estimator]])</f>
        <v>0.95570540299720963</v>
      </c>
      <c r="AV62" s="14">
        <f>IF(Dietary_Sample[[#This Row],[Cook cost estimator]]=0,0,Dietary_Sample[[#This Row],[Est median Cook wage cost]]/Dietary_Sample[[#This Row],[Cook cost estimator]])</f>
        <v>0.95570540299720952</v>
      </c>
      <c r="AW62" s="14">
        <f>IF(Dietary_Sample[[#This Row],[Cook cost estimator]]=0,0,Dietary_Sample[[#This Row],[Est average Cook wage cost]]/Dietary_Sample[[#This Row],[Cook cost estimator]])</f>
        <v>0.943590827466259</v>
      </c>
      <c r="AX62" s="14">
        <f>IF(Dietary_Sample[[#This Row],[Aide median]]=0,0,Dietary_Sample[[#This Row],[Aide min]]/Dietary_Sample[[#This Row],[Aide median]])</f>
        <v>1</v>
      </c>
      <c r="AY62" s="14">
        <f>IF(Dietary_Sample[[#This Row],[Aide median]]=0,0,Dietary_Sample[[#This Row],[Aide max]]/Dietary_Sample[[#This Row],[Aide median]])</f>
        <v>1</v>
      </c>
      <c r="AZ62" s="14">
        <f>IF(Dietary_Sample[[#This Row],[Cook median]]=0,0,Dietary_Sample[[#This Row],[Cook min]]/Dietary_Sample[[#This Row],[Cook median]])</f>
        <v>0.92957746478873238</v>
      </c>
      <c r="BA62" s="14">
        <f>IF(Dietary_Sample[[#This Row],[Cook median]]=0,0,Dietary_Sample[[#This Row],[Cook max]]/Dietary_Sample[[#This Row],[Cook median]])</f>
        <v>1.0394366197183098</v>
      </c>
      <c r="BB62" s="12">
        <f>VLOOKUP(A62,Summary!$1:$1048576,2,FALSE)</f>
        <v>3</v>
      </c>
    </row>
    <row r="63" spans="1:54" x14ac:dyDescent="0.55000000000000004">
      <c r="A63" s="10">
        <v>712</v>
      </c>
      <c r="B63" s="10" t="s">
        <v>54</v>
      </c>
      <c r="C63" s="10">
        <f>VLOOKUP($A63,'SAS Data'!$1:$1048576,MATCH(C$1,'SAS Data'!$3:$3,0),FALSE)</f>
        <v>7</v>
      </c>
      <c r="D63" s="10">
        <f>VLOOKUP($A63,'SAS Data'!$1:$1048576,MATCH(D$1,'SAS Data'!$3:$3,0),FALSE)</f>
        <v>10</v>
      </c>
      <c r="E63" s="10">
        <f t="shared" si="1"/>
        <v>17</v>
      </c>
      <c r="F63" s="11">
        <f>VLOOKUP($A63,'SAS Data'!$1:$1048576,MATCH(F$1,'SAS Data'!$3:$3,0),FALSE)</f>
        <v>20.147433326649288</v>
      </c>
      <c r="G63" s="12">
        <f>+Dietary_Sample[[#This Row],[Diet Cph]]*Dietary_Sample[[#This Row],[Diet Hrsn]]</f>
        <v>401901</v>
      </c>
      <c r="H6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253808.28515772274</v>
      </c>
      <c r="I63" s="17">
        <f>+Dietary_Sample[[#This Row],[Employee count Sample Data Aide]]/Dietary_Sample[[#This Row],[Total aide &amp; Cook]]*Dietary_Sample[[#This Row],[Diet Hrsn]]</f>
        <v>13810.153846153846</v>
      </c>
      <c r="J63" s="13">
        <f>IF(Dietary_Sample[[#This Row],[Aide Hours]]=0,0,Dietary_Sample[[#This Row],[Aide cost estimator]]/Dietary_Sample[[#This Row],[Aide Hours]])</f>
        <v>18.378382166134148</v>
      </c>
      <c r="K6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148092.71484227723</v>
      </c>
      <c r="L63" s="17">
        <f>+Dietary_Sample[[#This Row],[Employee count Sample Data Cook]]/Dietary_Sample[[#This Row],[Total aide &amp; Cook]]*Dietary_Sample[[#This Row],[Diet Hrsn]]</f>
        <v>6137.8461538461543</v>
      </c>
      <c r="M63" s="13">
        <f>IF(Dietary_Sample[[#This Row],[Cook Hours]]=0,0,Dietary_Sample[[#This Row],[Cook cost estimator]]/Dietary_Sample[[#This Row],[Cook Hours]])</f>
        <v>24.127798437808352</v>
      </c>
      <c r="N63" s="12">
        <f>VLOOKUP(A63,'Estimator data 120523'!$A:$F,5,FALSE)</f>
        <v>401901</v>
      </c>
      <c r="O63" s="12">
        <f>VLOOKUP($A63,'SAS Data'!$1:$1048576,MATCH(O$1,'SAS Data'!$3:$3,0),FALSE)</f>
        <v>19948</v>
      </c>
      <c r="P63" s="13">
        <f>+Dietary_Sample[[#This Row],[Cost Estimator]]/Dietary_Sample[[#This Row],[Diet Hrsn]]</f>
        <v>20.147433326649288</v>
      </c>
      <c r="Q63" s="10">
        <f>COUNTIFS('Dietary Detail'!$R:$R,$A63,'Dietary Detail'!$U:$U,RIGHT(Q$1,4))</f>
        <v>18</v>
      </c>
      <c r="R63" s="10">
        <f>COUNTIFS('Dietary Detail'!$R:$R,$A63,'Dietary Detail'!$U:$U,RIGHT(R$1,4))</f>
        <v>8</v>
      </c>
      <c r="S63" s="10">
        <f>+Dietary_Sample[[#This Row],[Employee count Sample Data Aide]]+Dietary_Sample[[#This Row],[Employee count Sample Data Cook]]</f>
        <v>26</v>
      </c>
      <c r="T63" s="13">
        <v>16.059999999999999</v>
      </c>
      <c r="U63" s="13">
        <v>22.14</v>
      </c>
      <c r="V63" s="13">
        <v>16.75</v>
      </c>
      <c r="W63" s="13">
        <v>17.936666666666667</v>
      </c>
      <c r="X63" s="13">
        <v>20.76</v>
      </c>
      <c r="Y63" s="13">
        <v>22.46</v>
      </c>
      <c r="Z63" s="13">
        <v>21.990000000000002</v>
      </c>
      <c r="AA63" s="13">
        <v>21.705000000000002</v>
      </c>
      <c r="AB63" s="13">
        <f>IF(AND(Dietary_Sample[[#This Row],[Aide median]]=0,Dietary_Sample[[#This Row],[Cook median]]=0),0,IF(Dietary_Sample[[#This Row],[Aide median]]=0,1,Dietary_Sample[[#This Row],[Cook median]]/Dietary_Sample[[#This Row],[Aide median]]))</f>
        <v>1.3128358208955224</v>
      </c>
      <c r="AC63" s="13">
        <f>IF(AND(Dietary_Sample[[#This Row],[Aide average]]=0,Dietary_Sample[[#This Row],[Cook average]]=0),0,IF(Dietary_Sample[[#This Row],[Aide average]]=0,1,Dietary_Sample[[#This Row],[Cook average]]/Dietary_Sample[[#This Row],[Aide average]]))</f>
        <v>1.2100910611410518</v>
      </c>
      <c r="AD63" s="37">
        <f>COUNTIFS('Dietary Detail'!$R:$R,$A63,'Dietary Detail'!$T:$T,"&lt;"&amp;V63,'Dietary Detail'!$U:$U,RIGHT(AD$1,4))</f>
        <v>5</v>
      </c>
      <c r="AE63" s="37">
        <f>COUNTIFS('Dietary Detail'!$R:$R,$A63,'Dietary Detail'!$T:$T,"&lt;"&amp;W63,'Dietary Detail'!$U:$U,RIGHT(AE$1,4))</f>
        <v>11</v>
      </c>
      <c r="AF63" s="37">
        <f>COUNTIFS('Dietary Detail'!$R:$R,$A63,'Dietary Detail'!$T:$T,"&lt;"&amp;$BG$3,'Dietary Detail'!$U:$U,RIGHT(AF$1,4))</f>
        <v>18</v>
      </c>
      <c r="AG63" s="37">
        <f>COUNTIFS('Dietary Detail'!$R:$R,$A63,'Dietary Detail'!$T:$T,"&lt;"&amp;$BG$4,'Dietary Detail'!$U:$U,RIGHT(AG$1,4))</f>
        <v>3</v>
      </c>
      <c r="AH63" s="37">
        <f>COUNTIFS('Dietary Detail'!$R:$R,$A63,'Dietary Detail'!$T:$T,"&lt;"&amp;$BG$5,'Dietary Detail'!$U:$U,RIGHT(AH$1,4))</f>
        <v>5</v>
      </c>
      <c r="AI63" s="37">
        <f>COUNTIFS('Dietary Detail'!$R:$R,$A63,'Dietary Detail'!$T:$T,"&lt;"&amp;Z63,'Dietary Detail'!$U:$U,RIGHT(AI$1,4))</f>
        <v>4</v>
      </c>
      <c r="AJ63" s="37">
        <f>COUNTIFS('Dietary Detail'!$R:$R,$A63,'Dietary Detail'!$T:$T,"&lt;"&amp;AA63,'Dietary Detail'!$U:$U,RIGHT(AJ$1,4))</f>
        <v>4</v>
      </c>
      <c r="AK63" s="37">
        <f>COUNTIFS('Dietary Detail'!$R:$R,$A63,'Dietary Detail'!$T:$T,"&lt;"&amp;$BH$3,'Dietary Detail'!$U:$U,RIGHT(AK$1,4))</f>
        <v>8</v>
      </c>
      <c r="AL63" s="37">
        <f>COUNTIFS('Dietary Detail'!$R:$R,$A63,'Dietary Detail'!$T:$T,"&lt;"&amp;$BH$4,'Dietary Detail'!$U:$U,RIGHT(AL$1,4))</f>
        <v>0</v>
      </c>
      <c r="AM63" s="37">
        <f>COUNTIFS('Dietary Detail'!$R:$R,$A63,'Dietary Detail'!$T:$T,"&lt;"&amp;$BH$5,'Dietary Detail'!$U:$U,RIGHT(AM$1,4))</f>
        <v>0</v>
      </c>
      <c r="AN63" s="12">
        <f>+Dietary_Sample[[#This Row],[Aide median]]*Dietary_Sample[[#This Row],[Aide Hours]]</f>
        <v>231320.07692307691</v>
      </c>
      <c r="AO63" s="12">
        <f>+Dietary_Sample[[#This Row],[Aide average]]*Dietary_Sample[[#This Row],[Aide Hours]]</f>
        <v>247708.12615384615</v>
      </c>
      <c r="AP63" s="12">
        <f>+Dietary_Sample[[#This Row],[Cook median]]*Dietary_Sample[[#This Row],[Cook Hours]]</f>
        <v>134971.23692307694</v>
      </c>
      <c r="AQ63" s="12">
        <f>+Dietary_Sample[[#This Row],[Cook average]]*Dietary_Sample[[#This Row],[Cook Hours]]</f>
        <v>133221.95076923078</v>
      </c>
      <c r="AR63" s="12">
        <f>+Dietary_Sample[[#This Row],[Est average Aide wage cost]]+Dietary_Sample[[#This Row],[Est average Cook wage cost]]</f>
        <v>380930.07692307694</v>
      </c>
      <c r="AS63" s="12">
        <f>+Dietary_Sample[[#This Row],[Est average Aide wage cost]]+Dietary_Sample[[#This Row],[Est average Cook wage cost]]</f>
        <v>380930.07692307694</v>
      </c>
      <c r="AT63" s="14">
        <f>IF(Dietary_Sample[[#This Row],[Aide cost estimator]]=0,0,Dietary_Sample[[#This Row],[Est median Aide wage cost ]]/Dietary_Sample[[#This Row],[Aide cost estimator]])</f>
        <v>0.91139687098602351</v>
      </c>
      <c r="AU63" s="14">
        <f>IF(Dietary_Sample[[#This Row],[Aide cost estimator]]=0,0,Dietary_Sample[[#This Row],[Est average Aide wage cost]]/Dietary_Sample[[#This Row],[Aide cost estimator]])</f>
        <v>0.97596548512951109</v>
      </c>
      <c r="AV63" s="14">
        <f>IF(Dietary_Sample[[#This Row],[Cook cost estimator]]=0,0,Dietary_Sample[[#This Row],[Est median Cook wage cost]]/Dietary_Sample[[#This Row],[Cook cost estimator]])</f>
        <v>0.91139687098602373</v>
      </c>
      <c r="AW63" s="14">
        <f>IF(Dietary_Sample[[#This Row],[Cook cost estimator]]=0,0,Dietary_Sample[[#This Row],[Est average Cook wage cost]]/Dietary_Sample[[#This Row],[Cook cost estimator]])</f>
        <v>0.89958476965673684</v>
      </c>
      <c r="AX63" s="14">
        <f>IF(Dietary_Sample[[#This Row],[Aide median]]=0,0,Dietary_Sample[[#This Row],[Aide min]]/Dietary_Sample[[#This Row],[Aide median]])</f>
        <v>0.95880597014925362</v>
      </c>
      <c r="AY63" s="14">
        <f>IF(Dietary_Sample[[#This Row],[Aide median]]=0,0,Dietary_Sample[[#This Row],[Aide max]]/Dietary_Sample[[#This Row],[Aide median]])</f>
        <v>1.3217910447761194</v>
      </c>
      <c r="AZ63" s="14">
        <f>IF(Dietary_Sample[[#This Row],[Cook median]]=0,0,Dietary_Sample[[#This Row],[Cook min]]/Dietary_Sample[[#This Row],[Cook median]])</f>
        <v>0.94406548431105042</v>
      </c>
      <c r="BA63" s="14">
        <f>IF(Dietary_Sample[[#This Row],[Cook median]]=0,0,Dietary_Sample[[#This Row],[Cook max]]/Dietary_Sample[[#This Row],[Cook median]])</f>
        <v>1.0213733515234198</v>
      </c>
      <c r="BB63" s="12">
        <f>VLOOKUP(A63,Summary!$1:$1048576,2,FALSE)</f>
        <v>3</v>
      </c>
    </row>
    <row r="64" spans="1:54" x14ac:dyDescent="0.55000000000000004">
      <c r="A64" s="10">
        <v>718</v>
      </c>
      <c r="B64" s="10" t="s">
        <v>54</v>
      </c>
      <c r="C64" s="10">
        <f>VLOOKUP($A64,'SAS Data'!$1:$1048576,MATCH(C$1,'SAS Data'!$3:$3,0),FALSE)</f>
        <v>0</v>
      </c>
      <c r="D64" s="10">
        <f>VLOOKUP($A64,'SAS Data'!$1:$1048576,MATCH(D$1,'SAS Data'!$3:$3,0),FALSE)</f>
        <v>0</v>
      </c>
      <c r="E64" s="10">
        <f t="shared" si="1"/>
        <v>0</v>
      </c>
      <c r="F64" s="11">
        <f>VLOOKUP($A64,'SAS Data'!$1:$1048576,MATCH(F$1,'SAS Data'!$3:$3,0),FALSE)</f>
        <v>20.303170312115999</v>
      </c>
      <c r="G64" s="12">
        <f>+Dietary_Sample[[#This Row],[Diet Cph]]*Dietary_Sample[[#This Row],[Diet Hrsn]]</f>
        <v>413068</v>
      </c>
      <c r="H6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348611.8184024556</v>
      </c>
      <c r="I64" s="17">
        <f>+Dietary_Sample[[#This Row],[Employee count Sample Data Aide]]/Dietary_Sample[[#This Row],[Total aide &amp; Cook]]*Dietary_Sample[[#This Row],[Diet Hrsn]]</f>
        <v>17801.875</v>
      </c>
      <c r="J64" s="13">
        <f>IF(Dietary_Sample[[#This Row],[Aide Hours]]=0,0,Dietary_Sample[[#This Row],[Aide cost estimator]]/Dietary_Sample[[#This Row],[Aide Hours]])</f>
        <v>19.582870815712141</v>
      </c>
      <c r="K6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64456.181597544426</v>
      </c>
      <c r="L64" s="17">
        <f>+Dietary_Sample[[#This Row],[Employee count Sample Data Cook]]/Dietary_Sample[[#This Row],[Total aide &amp; Cook]]*Dietary_Sample[[#This Row],[Diet Hrsn]]</f>
        <v>2543.125</v>
      </c>
      <c r="M64" s="13">
        <f>IF(Dietary_Sample[[#This Row],[Cook Hours]]=0,0,Dietary_Sample[[#This Row],[Cook cost estimator]]/Dietary_Sample[[#This Row],[Cook Hours]])</f>
        <v>25.345266786943004</v>
      </c>
      <c r="N64" s="12">
        <f>VLOOKUP(A64,'Estimator data 120523'!$A:$F,5,FALSE)</f>
        <v>413068</v>
      </c>
      <c r="O64" s="12">
        <f>VLOOKUP($A64,'SAS Data'!$1:$1048576,MATCH(O$1,'SAS Data'!$3:$3,0),FALSE)</f>
        <v>20345</v>
      </c>
      <c r="P64" s="13">
        <f>+Dietary_Sample[[#This Row],[Cost Estimator]]/Dietary_Sample[[#This Row],[Diet Hrsn]]</f>
        <v>20.303170312115999</v>
      </c>
      <c r="Q64" s="10">
        <f>COUNTIFS('Dietary Detail'!$R:$R,$A64,'Dietary Detail'!$U:$U,RIGHT(Q$1,4))</f>
        <v>21</v>
      </c>
      <c r="R64" s="10">
        <f>COUNTIFS('Dietary Detail'!$R:$R,$A64,'Dietary Detail'!$U:$U,RIGHT(R$1,4))</f>
        <v>3</v>
      </c>
      <c r="S64" s="10">
        <f>+Dietary_Sample[[#This Row],[Employee count Sample Data Aide]]+Dietary_Sample[[#This Row],[Employee count Sample Data Cook]]</f>
        <v>24</v>
      </c>
      <c r="T64" s="13">
        <v>16</v>
      </c>
      <c r="U64" s="13">
        <v>19.350000000000001</v>
      </c>
      <c r="V64" s="13">
        <v>16.89</v>
      </c>
      <c r="W64" s="13">
        <v>17.549999999999997</v>
      </c>
      <c r="X64" s="13">
        <v>17.52</v>
      </c>
      <c r="Y64" s="13">
        <v>22.42</v>
      </c>
      <c r="Z64" s="13">
        <v>21.86</v>
      </c>
      <c r="AA64" s="13">
        <v>20.599999999999998</v>
      </c>
      <c r="AB64" s="13">
        <f>IF(AND(Dietary_Sample[[#This Row],[Aide median]]=0,Dietary_Sample[[#This Row],[Cook median]]=0),0,IF(Dietary_Sample[[#This Row],[Aide median]]=0,1,Dietary_Sample[[#This Row],[Cook median]]/Dietary_Sample[[#This Row],[Aide median]]))</f>
        <v>1.2942569567791591</v>
      </c>
      <c r="AC64" s="13">
        <f>IF(AND(Dietary_Sample[[#This Row],[Aide average]]=0,Dietary_Sample[[#This Row],[Cook average]]=0),0,IF(Dietary_Sample[[#This Row],[Aide average]]=0,1,Dietary_Sample[[#This Row],[Cook average]]/Dietary_Sample[[#This Row],[Aide average]]))</f>
        <v>1.1737891737891739</v>
      </c>
      <c r="AD64" s="37">
        <f>COUNTIFS('Dietary Detail'!$R:$R,$A64,'Dietary Detail'!$T:$T,"&lt;"&amp;V64,'Dietary Detail'!$U:$U,RIGHT(AD$1,4))</f>
        <v>9</v>
      </c>
      <c r="AE64" s="37">
        <f>COUNTIFS('Dietary Detail'!$R:$R,$A64,'Dietary Detail'!$T:$T,"&lt;"&amp;W64,'Dietary Detail'!$U:$U,RIGHT(AE$1,4))</f>
        <v>12</v>
      </c>
      <c r="AF64" s="37">
        <f>COUNTIFS('Dietary Detail'!$R:$R,$A64,'Dietary Detail'!$T:$T,"&lt;"&amp;$BG$3,'Dietary Detail'!$U:$U,RIGHT(AF$1,4))</f>
        <v>21</v>
      </c>
      <c r="AG64" s="37">
        <f>COUNTIFS('Dietary Detail'!$R:$R,$A64,'Dietary Detail'!$T:$T,"&lt;"&amp;$BG$4,'Dietary Detail'!$U:$U,RIGHT(AG$1,4))</f>
        <v>2</v>
      </c>
      <c r="AH64" s="37">
        <f>COUNTIFS('Dietary Detail'!$R:$R,$A64,'Dietary Detail'!$T:$T,"&lt;"&amp;$BG$5,'Dietary Detail'!$U:$U,RIGHT(AH$1,4))</f>
        <v>8</v>
      </c>
      <c r="AI64" s="37">
        <f>COUNTIFS('Dietary Detail'!$R:$R,$A64,'Dietary Detail'!$T:$T,"&lt;"&amp;Z64,'Dietary Detail'!$U:$U,RIGHT(AI$1,4))</f>
        <v>1</v>
      </c>
      <c r="AJ64" s="37">
        <f>COUNTIFS('Dietary Detail'!$R:$R,$A64,'Dietary Detail'!$T:$T,"&lt;"&amp;AA64,'Dietary Detail'!$U:$U,RIGHT(AJ$1,4))</f>
        <v>1</v>
      </c>
      <c r="AK64" s="37">
        <f>COUNTIFS('Dietary Detail'!$R:$R,$A64,'Dietary Detail'!$T:$T,"&lt;"&amp;$BH$3,'Dietary Detail'!$U:$U,RIGHT(AK$1,4))</f>
        <v>3</v>
      </c>
      <c r="AL64" s="37">
        <f>COUNTIFS('Dietary Detail'!$R:$R,$A64,'Dietary Detail'!$T:$T,"&lt;"&amp;$BH$4,'Dietary Detail'!$U:$U,RIGHT(AL$1,4))</f>
        <v>1</v>
      </c>
      <c r="AM64" s="37">
        <f>COUNTIFS('Dietary Detail'!$R:$R,$A64,'Dietary Detail'!$T:$T,"&lt;"&amp;$BH$5,'Dietary Detail'!$U:$U,RIGHT(AM$1,4))</f>
        <v>1</v>
      </c>
      <c r="AN64" s="12">
        <f>+Dietary_Sample[[#This Row],[Aide median]]*Dietary_Sample[[#This Row],[Aide Hours]]</f>
        <v>300673.66875000001</v>
      </c>
      <c r="AO64" s="12">
        <f>+Dietary_Sample[[#This Row],[Aide average]]*Dietary_Sample[[#This Row],[Aide Hours]]</f>
        <v>312422.90624999994</v>
      </c>
      <c r="AP64" s="12">
        <f>+Dietary_Sample[[#This Row],[Cook median]]*Dietary_Sample[[#This Row],[Cook Hours]]</f>
        <v>55592.712500000001</v>
      </c>
      <c r="AQ64" s="12">
        <f>+Dietary_Sample[[#This Row],[Cook average]]*Dietary_Sample[[#This Row],[Cook Hours]]</f>
        <v>52388.374999999993</v>
      </c>
      <c r="AR64" s="12">
        <f>+Dietary_Sample[[#This Row],[Est average Aide wage cost]]+Dietary_Sample[[#This Row],[Est average Cook wage cost]]</f>
        <v>364811.28124999994</v>
      </c>
      <c r="AS64" s="12">
        <f>+Dietary_Sample[[#This Row],[Est average Aide wage cost]]+Dietary_Sample[[#This Row],[Est average Cook wage cost]]</f>
        <v>364811.28124999994</v>
      </c>
      <c r="AT64" s="14">
        <f>IF(Dietary_Sample[[#This Row],[Aide cost estimator]]=0,0,Dietary_Sample[[#This Row],[Est median Aide wage cost ]]/Dietary_Sample[[#This Row],[Aide cost estimator]])</f>
        <v>0.86248845529065432</v>
      </c>
      <c r="AU64" s="14">
        <f>IF(Dietary_Sample[[#This Row],[Aide cost estimator]]=0,0,Dietary_Sample[[#This Row],[Est average Aide wage cost]]/Dietary_Sample[[#This Row],[Aide cost estimator]])</f>
        <v>0.89619137894321965</v>
      </c>
      <c r="AV64" s="14">
        <f>IF(Dietary_Sample[[#This Row],[Cook cost estimator]]=0,0,Dietary_Sample[[#This Row],[Est median Cook wage cost]]/Dietary_Sample[[#This Row],[Cook cost estimator]])</f>
        <v>0.86248845529065443</v>
      </c>
      <c r="AW64" s="14">
        <f>IF(Dietary_Sample[[#This Row],[Cook cost estimator]]=0,0,Dietary_Sample[[#This Row],[Est average Cook wage cost]]/Dietary_Sample[[#This Row],[Cook cost estimator]])</f>
        <v>0.81277503106072646</v>
      </c>
      <c r="AX64" s="14">
        <f>IF(Dietary_Sample[[#This Row],[Aide median]]=0,0,Dietary_Sample[[#This Row],[Aide min]]/Dietary_Sample[[#This Row],[Aide median]])</f>
        <v>0.94730609828300771</v>
      </c>
      <c r="AY64" s="14">
        <f>IF(Dietary_Sample[[#This Row],[Aide median]]=0,0,Dietary_Sample[[#This Row],[Aide max]]/Dietary_Sample[[#This Row],[Aide median]])</f>
        <v>1.1456483126110124</v>
      </c>
      <c r="AZ64" s="14">
        <f>IF(Dietary_Sample[[#This Row],[Cook median]]=0,0,Dietary_Sample[[#This Row],[Cook min]]/Dietary_Sample[[#This Row],[Cook median]])</f>
        <v>0.80146386093321131</v>
      </c>
      <c r="BA64" s="14">
        <f>IF(Dietary_Sample[[#This Row],[Cook median]]=0,0,Dietary_Sample[[#This Row],[Cook max]]/Dietary_Sample[[#This Row],[Cook median]])</f>
        <v>1.0256175663311986</v>
      </c>
      <c r="BB64" s="12">
        <f>VLOOKUP(A64,Summary!$1:$1048576,2,FALSE)</f>
        <v>2</v>
      </c>
    </row>
    <row r="65" spans="1:54" x14ac:dyDescent="0.55000000000000004">
      <c r="A65" s="10">
        <v>726</v>
      </c>
      <c r="B65" s="10" t="s">
        <v>54</v>
      </c>
      <c r="C65" s="10">
        <f>VLOOKUP($A65,'SAS Data'!$1:$1048576,MATCH(C$1,'SAS Data'!$3:$3,0),FALSE)</f>
        <v>3</v>
      </c>
      <c r="D65" s="10">
        <f>VLOOKUP($A65,'SAS Data'!$1:$1048576,MATCH(D$1,'SAS Data'!$3:$3,0),FALSE)</f>
        <v>0</v>
      </c>
      <c r="E65" s="10">
        <f t="shared" si="1"/>
        <v>3</v>
      </c>
      <c r="F65" s="11">
        <f>VLOOKUP($A65,'SAS Data'!$1:$1048576,MATCH(F$1,'SAS Data'!$3:$3,0),FALSE)</f>
        <v>20.776097912167028</v>
      </c>
      <c r="G65" s="12">
        <f>+Dietary_Sample[[#This Row],[Diet Cph]]*Dietary_Sample[[#This Row],[Diet Hrsn]]</f>
        <v>317438</v>
      </c>
      <c r="H6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113561.38682550806</v>
      </c>
      <c r="I65" s="17">
        <f>+Dietary_Sample[[#This Row],[Employee count Sample Data Aide]]/Dietary_Sample[[#This Row],[Total aide &amp; Cook]]*Dietary_Sample[[#This Row],[Diet Hrsn]]</f>
        <v>6111.6</v>
      </c>
      <c r="J65" s="13">
        <f>IF(Dietary_Sample[[#This Row],[Aide Hours]]=0,0,Dietary_Sample[[#This Row],[Aide cost estimator]]/Dietary_Sample[[#This Row],[Aide Hours]])</f>
        <v>18.581285886757652</v>
      </c>
      <c r="K6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203876.61317449191</v>
      </c>
      <c r="L65" s="17">
        <f>+Dietary_Sample[[#This Row],[Employee count Sample Data Cook]]/Dietary_Sample[[#This Row],[Total aide &amp; Cook]]*Dietary_Sample[[#This Row],[Diet Hrsn]]</f>
        <v>9167.4</v>
      </c>
      <c r="M65" s="13">
        <f>IF(Dietary_Sample[[#This Row],[Cook Hours]]=0,0,Dietary_Sample[[#This Row],[Cook cost estimator]]/Dietary_Sample[[#This Row],[Cook Hours]])</f>
        <v>22.239305929106607</v>
      </c>
      <c r="N65" s="12">
        <f>VLOOKUP(A65,'Estimator data 120523'!$A:$F,5,FALSE)</f>
        <v>317438</v>
      </c>
      <c r="O65" s="12">
        <f>VLOOKUP($A65,'SAS Data'!$1:$1048576,MATCH(O$1,'SAS Data'!$3:$3,0),FALSE)</f>
        <v>15279</v>
      </c>
      <c r="P65" s="13">
        <f>+Dietary_Sample[[#This Row],[Cost Estimator]]/Dietary_Sample[[#This Row],[Diet Hrsn]]</f>
        <v>20.776097912167028</v>
      </c>
      <c r="Q65" s="10">
        <f>COUNTIFS('Dietary Detail'!$R:$R,$A65,'Dietary Detail'!$U:$U,RIGHT(Q$1,4))</f>
        <v>2</v>
      </c>
      <c r="R65" s="10">
        <f>COUNTIFS('Dietary Detail'!$R:$R,$A65,'Dietary Detail'!$U:$U,RIGHT(R$1,4))</f>
        <v>3</v>
      </c>
      <c r="S65" s="10">
        <f>+Dietary_Sample[[#This Row],[Employee count Sample Data Aide]]+Dietary_Sample[[#This Row],[Employee count Sample Data Cook]]</f>
        <v>5</v>
      </c>
      <c r="T65" s="13">
        <v>14.66</v>
      </c>
      <c r="U65" s="13">
        <v>15.97</v>
      </c>
      <c r="V65" s="13">
        <v>15.315000000000001</v>
      </c>
      <c r="W65" s="13">
        <v>15.315000000000001</v>
      </c>
      <c r="X65" s="13">
        <v>17.850000000000001</v>
      </c>
      <c r="Y65" s="13">
        <v>18.88</v>
      </c>
      <c r="Z65" s="13">
        <v>18.329999999999998</v>
      </c>
      <c r="AA65" s="13">
        <v>18.353333333333335</v>
      </c>
      <c r="AB65" s="13">
        <f>IF(AND(Dietary_Sample[[#This Row],[Aide median]]=0,Dietary_Sample[[#This Row],[Cook median]]=0),0,IF(Dietary_Sample[[#This Row],[Aide median]]=0,1,Dietary_Sample[[#This Row],[Cook median]]/Dietary_Sample[[#This Row],[Aide median]]))</f>
        <v>1.1968658178256608</v>
      </c>
      <c r="AC65" s="13">
        <f>IF(AND(Dietary_Sample[[#This Row],[Aide average]]=0,Dietary_Sample[[#This Row],[Cook average]]=0),0,IF(Dietary_Sample[[#This Row],[Aide average]]=0,1,Dietary_Sample[[#This Row],[Cook average]]/Dietary_Sample[[#This Row],[Aide average]]))</f>
        <v>1.1983893786048536</v>
      </c>
      <c r="AD65" s="37">
        <f>COUNTIFS('Dietary Detail'!$R:$R,$A65,'Dietary Detail'!$T:$T,"&lt;"&amp;V65,'Dietary Detail'!$U:$U,RIGHT(AD$1,4))</f>
        <v>1</v>
      </c>
      <c r="AE65" s="37">
        <f>COUNTIFS('Dietary Detail'!$R:$R,$A65,'Dietary Detail'!$T:$T,"&lt;"&amp;W65,'Dietary Detail'!$U:$U,RIGHT(AE$1,4))</f>
        <v>1</v>
      </c>
      <c r="AF65" s="37">
        <f>COUNTIFS('Dietary Detail'!$R:$R,$A65,'Dietary Detail'!$T:$T,"&lt;"&amp;$BG$3,'Dietary Detail'!$U:$U,RIGHT(AF$1,4))</f>
        <v>2</v>
      </c>
      <c r="AG65" s="37">
        <f>COUNTIFS('Dietary Detail'!$R:$R,$A65,'Dietary Detail'!$T:$T,"&lt;"&amp;$BG$4,'Dietary Detail'!$U:$U,RIGHT(AG$1,4))</f>
        <v>2</v>
      </c>
      <c r="AH65" s="37">
        <f>COUNTIFS('Dietary Detail'!$R:$R,$A65,'Dietary Detail'!$T:$T,"&lt;"&amp;$BG$5,'Dietary Detail'!$U:$U,RIGHT(AH$1,4))</f>
        <v>2</v>
      </c>
      <c r="AI65" s="37">
        <f>COUNTIFS('Dietary Detail'!$R:$R,$A65,'Dietary Detail'!$T:$T,"&lt;"&amp;Z65,'Dietary Detail'!$U:$U,RIGHT(AI$1,4))</f>
        <v>1</v>
      </c>
      <c r="AJ65" s="37">
        <f>COUNTIFS('Dietary Detail'!$R:$R,$A65,'Dietary Detail'!$T:$T,"&lt;"&amp;AA65,'Dietary Detail'!$U:$U,RIGHT(AJ$1,4))</f>
        <v>2</v>
      </c>
      <c r="AK65" s="37">
        <f>COUNTIFS('Dietary Detail'!$R:$R,$A65,'Dietary Detail'!$T:$T,"&lt;"&amp;$BH$3,'Dietary Detail'!$U:$U,RIGHT(AK$1,4))</f>
        <v>3</v>
      </c>
      <c r="AL65" s="37">
        <f>COUNTIFS('Dietary Detail'!$R:$R,$A65,'Dietary Detail'!$T:$T,"&lt;"&amp;$BH$4,'Dietary Detail'!$U:$U,RIGHT(AL$1,4))</f>
        <v>3</v>
      </c>
      <c r="AM65" s="37">
        <f>COUNTIFS('Dietary Detail'!$R:$R,$A65,'Dietary Detail'!$T:$T,"&lt;"&amp;$BH$5,'Dietary Detail'!$U:$U,RIGHT(AM$1,4))</f>
        <v>3</v>
      </c>
      <c r="AN65" s="12">
        <f>+Dietary_Sample[[#This Row],[Aide median]]*Dietary_Sample[[#This Row],[Aide Hours]]</f>
        <v>93599.15400000001</v>
      </c>
      <c r="AO65" s="12">
        <f>+Dietary_Sample[[#This Row],[Aide average]]*Dietary_Sample[[#This Row],[Aide Hours]]</f>
        <v>93599.15400000001</v>
      </c>
      <c r="AP65" s="12">
        <f>+Dietary_Sample[[#This Row],[Cook median]]*Dietary_Sample[[#This Row],[Cook Hours]]</f>
        <v>168038.44199999998</v>
      </c>
      <c r="AQ65" s="12">
        <f>+Dietary_Sample[[#This Row],[Cook average]]*Dietary_Sample[[#This Row],[Cook Hours]]</f>
        <v>168252.348</v>
      </c>
      <c r="AR65" s="12">
        <f>+Dietary_Sample[[#This Row],[Est average Aide wage cost]]+Dietary_Sample[[#This Row],[Est average Cook wage cost]]</f>
        <v>261851.50200000001</v>
      </c>
      <c r="AS65" s="12">
        <f>+Dietary_Sample[[#This Row],[Est average Aide wage cost]]+Dietary_Sample[[#This Row],[Est average Cook wage cost]]</f>
        <v>261851.50200000001</v>
      </c>
      <c r="AT65" s="14">
        <f>IF(Dietary_Sample[[#This Row],[Aide cost estimator]]=0,0,Dietary_Sample[[#This Row],[Est median Aide wage cost ]]/Dietary_Sample[[#This Row],[Aide cost estimator]])</f>
        <v>0.82421636981079782</v>
      </c>
      <c r="AU65" s="14">
        <f>IF(Dietary_Sample[[#This Row],[Aide cost estimator]]=0,0,Dietary_Sample[[#This Row],[Est average Aide wage cost]]/Dietary_Sample[[#This Row],[Aide cost estimator]])</f>
        <v>0.82421636981079782</v>
      </c>
      <c r="AV65" s="14">
        <f>IF(Dietary_Sample[[#This Row],[Cook cost estimator]]=0,0,Dietary_Sample[[#This Row],[Est median Cook wage cost]]/Dietary_Sample[[#This Row],[Cook cost estimator]])</f>
        <v>0.82421636981079771</v>
      </c>
      <c r="AW65" s="14">
        <f>IF(Dietary_Sample[[#This Row],[Cook cost estimator]]=0,0,Dietary_Sample[[#This Row],[Est average Cook wage cost]]/Dietary_Sample[[#This Row],[Cook cost estimator]])</f>
        <v>0.82526556322572331</v>
      </c>
      <c r="AX65" s="14">
        <f>IF(Dietary_Sample[[#This Row],[Aide median]]=0,0,Dietary_Sample[[#This Row],[Aide min]]/Dietary_Sample[[#This Row],[Aide median]])</f>
        <v>0.95723147241266726</v>
      </c>
      <c r="AY65" s="14">
        <f>IF(Dietary_Sample[[#This Row],[Aide median]]=0,0,Dietary_Sample[[#This Row],[Aide max]]/Dietary_Sample[[#This Row],[Aide median]])</f>
        <v>1.0427685275873326</v>
      </c>
      <c r="AZ65" s="14">
        <f>IF(Dietary_Sample[[#This Row],[Cook median]]=0,0,Dietary_Sample[[#This Row],[Cook min]]/Dietary_Sample[[#This Row],[Cook median]])</f>
        <v>0.97381342062193144</v>
      </c>
      <c r="BA65" s="14">
        <f>IF(Dietary_Sample[[#This Row],[Cook median]]=0,0,Dietary_Sample[[#This Row],[Cook max]]/Dietary_Sample[[#This Row],[Cook median]])</f>
        <v>1.0300054555373706</v>
      </c>
      <c r="BB65" s="12">
        <f>VLOOKUP(A65,Summary!$1:$1048576,2,FALSE)</f>
        <v>3</v>
      </c>
    </row>
    <row r="66" spans="1:54" x14ac:dyDescent="0.55000000000000004">
      <c r="A66" s="10">
        <v>728</v>
      </c>
      <c r="B66" s="10" t="s">
        <v>54</v>
      </c>
      <c r="C66" s="10">
        <f>VLOOKUP($A66,'SAS Data'!$1:$1048576,MATCH(C$1,'SAS Data'!$3:$3,0),FALSE)</f>
        <v>6</v>
      </c>
      <c r="D66" s="10">
        <f>VLOOKUP($A66,'SAS Data'!$1:$1048576,MATCH(D$1,'SAS Data'!$3:$3,0),FALSE)</f>
        <v>3</v>
      </c>
      <c r="E66" s="10">
        <f t="shared" si="1"/>
        <v>9</v>
      </c>
      <c r="F66" s="11">
        <f>VLOOKUP($A66,'SAS Data'!$1:$1048576,MATCH(F$1,'SAS Data'!$3:$3,0),FALSE)</f>
        <v>13.583672905587402</v>
      </c>
      <c r="G66" s="12">
        <f>+Dietary_Sample[[#This Row],[Diet Cph]]*Dietary_Sample[[#This Row],[Diet Hrsn]]</f>
        <v>196678</v>
      </c>
      <c r="H6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86112.761087683582</v>
      </c>
      <c r="I66" s="17">
        <f>+Dietary_Sample[[#This Row],[Employee count Sample Data Aide]]/Dietary_Sample[[#This Row],[Total aide &amp; Cook]]*Dietary_Sample[[#This Row],[Diet Hrsn]]</f>
        <v>7239.5</v>
      </c>
      <c r="J66" s="13">
        <f>IF(Dietary_Sample[[#This Row],[Aide Hours]]=0,0,Dietary_Sample[[#This Row],[Aide cost estimator]]/Dietary_Sample[[#This Row],[Aide Hours]])</f>
        <v>11.894849242031022</v>
      </c>
      <c r="K6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110565.23891231642</v>
      </c>
      <c r="L66" s="17">
        <f>+Dietary_Sample[[#This Row],[Employee count Sample Data Cook]]/Dietary_Sample[[#This Row],[Total aide &amp; Cook]]*Dietary_Sample[[#This Row],[Diet Hrsn]]</f>
        <v>7239.5</v>
      </c>
      <c r="M66" s="13">
        <f>IF(Dietary_Sample[[#This Row],[Cook Hours]]=0,0,Dietary_Sample[[#This Row],[Cook cost estimator]]/Dietary_Sample[[#This Row],[Cook Hours]])</f>
        <v>15.272496569143783</v>
      </c>
      <c r="N66" s="12">
        <f>VLOOKUP(A66,'Estimator data 120523'!$A:$F,5,FALSE)</f>
        <v>196678</v>
      </c>
      <c r="O66" s="12">
        <f>VLOOKUP($A66,'SAS Data'!$1:$1048576,MATCH(O$1,'SAS Data'!$3:$3,0),FALSE)</f>
        <v>14479</v>
      </c>
      <c r="P66" s="13">
        <f>+Dietary_Sample[[#This Row],[Cost Estimator]]/Dietary_Sample[[#This Row],[Diet Hrsn]]</f>
        <v>13.583672905587402</v>
      </c>
      <c r="Q66" s="10">
        <f>COUNTIFS('Dietary Detail'!$R:$R,$A66,'Dietary Detail'!$U:$U,RIGHT(Q$1,4))</f>
        <v>4</v>
      </c>
      <c r="R66" s="10">
        <f>COUNTIFS('Dietary Detail'!$R:$R,$A66,'Dietary Detail'!$U:$U,RIGHT(R$1,4))</f>
        <v>4</v>
      </c>
      <c r="S66" s="10">
        <f>+Dietary_Sample[[#This Row],[Employee count Sample Data Aide]]+Dietary_Sample[[#This Row],[Employee count Sample Data Cook]]</f>
        <v>8</v>
      </c>
      <c r="T66" s="13">
        <v>13</v>
      </c>
      <c r="U66" s="13">
        <v>17.09</v>
      </c>
      <c r="V66" s="13">
        <v>15.055</v>
      </c>
      <c r="W66" s="13">
        <v>15.05</v>
      </c>
      <c r="X66" s="13">
        <v>17.309999999999999</v>
      </c>
      <c r="Y66" s="13">
        <v>21.14</v>
      </c>
      <c r="Z66" s="13">
        <v>19.329999999999998</v>
      </c>
      <c r="AA66" s="13">
        <v>19.2775</v>
      </c>
      <c r="AB66" s="13">
        <f>IF(AND(Dietary_Sample[[#This Row],[Aide median]]=0,Dietary_Sample[[#This Row],[Cook median]]=0),0,IF(Dietary_Sample[[#This Row],[Aide median]]=0,1,Dietary_Sample[[#This Row],[Cook median]]/Dietary_Sample[[#This Row],[Aide median]]))</f>
        <v>1.2839588176685486</v>
      </c>
      <c r="AC66" s="13">
        <f>IF(AND(Dietary_Sample[[#This Row],[Aide average]]=0,Dietary_Sample[[#This Row],[Cook average]]=0),0,IF(Dietary_Sample[[#This Row],[Aide average]]=0,1,Dietary_Sample[[#This Row],[Cook average]]/Dietary_Sample[[#This Row],[Aide average]]))</f>
        <v>1.2808970099667774</v>
      </c>
      <c r="AD66" s="37">
        <f>COUNTIFS('Dietary Detail'!$R:$R,$A66,'Dietary Detail'!$T:$T,"&lt;"&amp;V66,'Dietary Detail'!$U:$U,RIGHT(AD$1,4))</f>
        <v>2</v>
      </c>
      <c r="AE66" s="37">
        <f>COUNTIFS('Dietary Detail'!$R:$R,$A66,'Dietary Detail'!$T:$T,"&lt;"&amp;W66,'Dietary Detail'!$U:$U,RIGHT(AE$1,4))</f>
        <v>1</v>
      </c>
      <c r="AF66" s="37">
        <f>COUNTIFS('Dietary Detail'!$R:$R,$A66,'Dietary Detail'!$T:$T,"&lt;"&amp;$BG$3,'Dietary Detail'!$U:$U,RIGHT(AF$1,4))</f>
        <v>4</v>
      </c>
      <c r="AG66" s="37">
        <f>COUNTIFS('Dietary Detail'!$R:$R,$A66,'Dietary Detail'!$T:$T,"&lt;"&amp;$BG$4,'Dietary Detail'!$U:$U,RIGHT(AG$1,4))</f>
        <v>3</v>
      </c>
      <c r="AH66" s="37">
        <f>COUNTIFS('Dietary Detail'!$R:$R,$A66,'Dietary Detail'!$T:$T,"&lt;"&amp;$BG$5,'Dietary Detail'!$U:$U,RIGHT(AH$1,4))</f>
        <v>3</v>
      </c>
      <c r="AI66" s="37">
        <f>COUNTIFS('Dietary Detail'!$R:$R,$A66,'Dietary Detail'!$T:$T,"&lt;"&amp;Z66,'Dietary Detail'!$U:$U,RIGHT(AI$1,4))</f>
        <v>2</v>
      </c>
      <c r="AJ66" s="37">
        <f>COUNTIFS('Dietary Detail'!$R:$R,$A66,'Dietary Detail'!$T:$T,"&lt;"&amp;AA66,'Dietary Detail'!$U:$U,RIGHT(AJ$1,4))</f>
        <v>2</v>
      </c>
      <c r="AK66" s="37">
        <f>COUNTIFS('Dietary Detail'!$R:$R,$A66,'Dietary Detail'!$T:$T,"&lt;"&amp;$BH$3,'Dietary Detail'!$U:$U,RIGHT(AK$1,4))</f>
        <v>4</v>
      </c>
      <c r="AL66" s="37">
        <f>COUNTIFS('Dietary Detail'!$R:$R,$A66,'Dietary Detail'!$T:$T,"&lt;"&amp;$BH$4,'Dietary Detail'!$U:$U,RIGHT(AL$1,4))</f>
        <v>2</v>
      </c>
      <c r="AM66" s="37">
        <f>COUNTIFS('Dietary Detail'!$R:$R,$A66,'Dietary Detail'!$T:$T,"&lt;"&amp;$BH$5,'Dietary Detail'!$U:$U,RIGHT(AM$1,4))</f>
        <v>2</v>
      </c>
      <c r="AN66" s="12">
        <f>+Dietary_Sample[[#This Row],[Aide median]]*Dietary_Sample[[#This Row],[Aide Hours]]</f>
        <v>108990.6725</v>
      </c>
      <c r="AO66" s="12">
        <f>+Dietary_Sample[[#This Row],[Aide average]]*Dietary_Sample[[#This Row],[Aide Hours]]</f>
        <v>108954.47500000001</v>
      </c>
      <c r="AP66" s="12">
        <f>+Dietary_Sample[[#This Row],[Cook median]]*Dietary_Sample[[#This Row],[Cook Hours]]</f>
        <v>139939.53499999997</v>
      </c>
      <c r="AQ66" s="12">
        <f>+Dietary_Sample[[#This Row],[Cook average]]*Dietary_Sample[[#This Row],[Cook Hours]]</f>
        <v>139559.46124999999</v>
      </c>
      <c r="AR66" s="12">
        <f>+Dietary_Sample[[#This Row],[Est average Aide wage cost]]+Dietary_Sample[[#This Row],[Est average Cook wage cost]]</f>
        <v>248513.93625</v>
      </c>
      <c r="AS66" s="12">
        <f>+Dietary_Sample[[#This Row],[Est average Aide wage cost]]+Dietary_Sample[[#This Row],[Est average Cook wage cost]]</f>
        <v>248513.93625</v>
      </c>
      <c r="AT66" s="14">
        <f>IF(Dietary_Sample[[#This Row],[Aide cost estimator]]=0,0,Dietary_Sample[[#This Row],[Est median Aide wage cost ]]/Dietary_Sample[[#This Row],[Aide cost estimator]])</f>
        <v>1.2656738806577248</v>
      </c>
      <c r="AU66" s="14">
        <f>IF(Dietary_Sample[[#This Row],[Aide cost estimator]]=0,0,Dietary_Sample[[#This Row],[Est average Aide wage cost]]/Dietary_Sample[[#This Row],[Aide cost estimator]])</f>
        <v>1.265253530647543</v>
      </c>
      <c r="AV66" s="14">
        <f>IF(Dietary_Sample[[#This Row],[Cook cost estimator]]=0,0,Dietary_Sample[[#This Row],[Est median Cook wage cost]]/Dietary_Sample[[#This Row],[Cook cost estimator]])</f>
        <v>1.2656738806577246</v>
      </c>
      <c r="AW66" s="14">
        <f>IF(Dietary_Sample[[#This Row],[Cook cost estimator]]=0,0,Dietary_Sample[[#This Row],[Est average Cook wage cost]]/Dietary_Sample[[#This Row],[Cook cost estimator]])</f>
        <v>1.2622363287314686</v>
      </c>
      <c r="AX66" s="14">
        <f>IF(Dietary_Sample[[#This Row],[Aide median]]=0,0,Dietary_Sample[[#This Row],[Aide min]]/Dietary_Sample[[#This Row],[Aide median]])</f>
        <v>0.86350049817336438</v>
      </c>
      <c r="AY66" s="14">
        <f>IF(Dietary_Sample[[#This Row],[Aide median]]=0,0,Dietary_Sample[[#This Row],[Aide max]]/Dietary_Sample[[#This Row],[Aide median]])</f>
        <v>1.1351710395217536</v>
      </c>
      <c r="AZ66" s="14">
        <f>IF(Dietary_Sample[[#This Row],[Cook median]]=0,0,Dietary_Sample[[#This Row],[Cook min]]/Dietary_Sample[[#This Row],[Cook median]])</f>
        <v>0.89549922400413862</v>
      </c>
      <c r="BA66" s="14">
        <f>IF(Dietary_Sample[[#This Row],[Cook median]]=0,0,Dietary_Sample[[#This Row],[Cook max]]/Dietary_Sample[[#This Row],[Cook median]])</f>
        <v>1.0936368339368858</v>
      </c>
      <c r="BB66" s="12">
        <f>VLOOKUP(A66,Summary!$1:$1048576,2,FALSE)</f>
        <v>3</v>
      </c>
    </row>
    <row r="67" spans="1:54" x14ac:dyDescent="0.55000000000000004">
      <c r="A67" s="10">
        <v>738</v>
      </c>
      <c r="B67" s="10" t="s">
        <v>54</v>
      </c>
      <c r="C67" s="10">
        <f>VLOOKUP($A67,'SAS Data'!$1:$1048576,MATCH(C$1,'SAS Data'!$3:$3,0),FALSE)</f>
        <v>6</v>
      </c>
      <c r="D67" s="10">
        <f>VLOOKUP($A67,'SAS Data'!$1:$1048576,MATCH(D$1,'SAS Data'!$3:$3,0),FALSE)</f>
        <v>7</v>
      </c>
      <c r="E67" s="10">
        <f t="shared" ref="E67:E92" si="2">SUM(C67:D67)</f>
        <v>13</v>
      </c>
      <c r="F67" s="11">
        <f>VLOOKUP($A67,'SAS Data'!$1:$1048576,MATCH(F$1,'SAS Data'!$3:$3,0),FALSE)</f>
        <v>15.178701807497106</v>
      </c>
      <c r="G67" s="12">
        <f>+Dietary_Sample[[#This Row],[Diet Cph]]*Dietary_Sample[[#This Row],[Diet Hrsn]]</f>
        <v>170472</v>
      </c>
      <c r="H6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111933.52358726456</v>
      </c>
      <c r="I67" s="17">
        <f>+Dietary_Sample[[#This Row],[Employee count Sample Data Aide]]/Dietary_Sample[[#This Row],[Total aide &amp; Cook]]*Dietary_Sample[[#This Row],[Diet Hrsn]]</f>
        <v>7775.3076923076924</v>
      </c>
      <c r="J67" s="13">
        <f>IF(Dietary_Sample[[#This Row],[Aide Hours]]=0,0,Dietary_Sample[[#This Row],[Aide cost estimator]]/Dietary_Sample[[#This Row],[Aide Hours]])</f>
        <v>14.396024957057739</v>
      </c>
      <c r="K6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58538.47641273545</v>
      </c>
      <c r="L67" s="17">
        <f>+Dietary_Sample[[#This Row],[Employee count Sample Data Cook]]/Dietary_Sample[[#This Row],[Total aide &amp; Cook]]*Dietary_Sample[[#This Row],[Diet Hrsn]]</f>
        <v>3455.6923076923081</v>
      </c>
      <c r="M67" s="13">
        <f>IF(Dietary_Sample[[#This Row],[Cook Hours]]=0,0,Dietary_Sample[[#This Row],[Cook cost estimator]]/Dietary_Sample[[#This Row],[Cook Hours]])</f>
        <v>16.93972472098568</v>
      </c>
      <c r="N67" s="12">
        <f>VLOOKUP(A67,'Estimator data 120523'!$A:$F,5,FALSE)</f>
        <v>170472</v>
      </c>
      <c r="O67" s="12">
        <f>VLOOKUP($A67,'SAS Data'!$1:$1048576,MATCH(O$1,'SAS Data'!$3:$3,0),FALSE)</f>
        <v>11231</v>
      </c>
      <c r="P67" s="13">
        <f>+Dietary_Sample[[#This Row],[Cost Estimator]]/Dietary_Sample[[#This Row],[Diet Hrsn]]</f>
        <v>15.178701807497106</v>
      </c>
      <c r="Q67" s="10">
        <f>COUNTIFS('Dietary Detail'!$R:$R,$A67,'Dietary Detail'!$U:$U,RIGHT(Q$1,4))</f>
        <v>9</v>
      </c>
      <c r="R67" s="10">
        <f>COUNTIFS('Dietary Detail'!$R:$R,$A67,'Dietary Detail'!$U:$U,RIGHT(R$1,4))</f>
        <v>4</v>
      </c>
      <c r="S67" s="10">
        <f>+Dietary_Sample[[#This Row],[Employee count Sample Data Aide]]+Dietary_Sample[[#This Row],[Employee count Sample Data Cook]]</f>
        <v>13</v>
      </c>
      <c r="T67" s="13">
        <v>13</v>
      </c>
      <c r="U67" s="13">
        <v>17</v>
      </c>
      <c r="V67" s="13">
        <v>13.13</v>
      </c>
      <c r="W67" s="13">
        <v>13.574444444444445</v>
      </c>
      <c r="X67" s="13">
        <v>15</v>
      </c>
      <c r="Y67" s="13">
        <v>16.079999999999998</v>
      </c>
      <c r="Z67" s="13">
        <v>15.45</v>
      </c>
      <c r="AA67" s="13">
        <v>15.494999999999999</v>
      </c>
      <c r="AB67" s="13">
        <f>IF(AND(Dietary_Sample[[#This Row],[Aide median]]=0,Dietary_Sample[[#This Row],[Cook median]]=0),0,IF(Dietary_Sample[[#This Row],[Aide median]]=0,1,Dietary_Sample[[#This Row],[Cook median]]/Dietary_Sample[[#This Row],[Aide median]]))</f>
        <v>1.1766945925361765</v>
      </c>
      <c r="AC67" s="13">
        <f>IF(AND(Dietary_Sample[[#This Row],[Aide average]]=0,Dietary_Sample[[#This Row],[Cook average]]=0),0,IF(Dietary_Sample[[#This Row],[Aide average]]=0,1,Dietary_Sample[[#This Row],[Cook average]]/Dietary_Sample[[#This Row],[Aide average]]))</f>
        <v>1.1414831791765572</v>
      </c>
      <c r="AD67" s="37">
        <f>COUNTIFS('Dietary Detail'!$R:$R,$A67,'Dietary Detail'!$T:$T,"&lt;"&amp;V67,'Dietary Detail'!$U:$U,RIGHT(AD$1,4))</f>
        <v>4</v>
      </c>
      <c r="AE67" s="37">
        <f>COUNTIFS('Dietary Detail'!$R:$R,$A67,'Dietary Detail'!$T:$T,"&lt;"&amp;W67,'Dietary Detail'!$U:$U,RIGHT(AE$1,4))</f>
        <v>8</v>
      </c>
      <c r="AF67" s="37">
        <f>COUNTIFS('Dietary Detail'!$R:$R,$A67,'Dietary Detail'!$T:$T,"&lt;"&amp;$BG$3,'Dietary Detail'!$U:$U,RIGHT(AF$1,4))</f>
        <v>9</v>
      </c>
      <c r="AG67" s="37">
        <f>COUNTIFS('Dietary Detail'!$R:$R,$A67,'Dietary Detail'!$T:$T,"&lt;"&amp;$BG$4,'Dietary Detail'!$U:$U,RIGHT(AG$1,4))</f>
        <v>8</v>
      </c>
      <c r="AH67" s="37">
        <f>COUNTIFS('Dietary Detail'!$R:$R,$A67,'Dietary Detail'!$T:$T,"&lt;"&amp;$BG$5,'Dietary Detail'!$U:$U,RIGHT(AH$1,4))</f>
        <v>8</v>
      </c>
      <c r="AI67" s="37">
        <f>COUNTIFS('Dietary Detail'!$R:$R,$A67,'Dietary Detail'!$T:$T,"&lt;"&amp;Z67,'Dietary Detail'!$U:$U,RIGHT(AI$1,4))</f>
        <v>1</v>
      </c>
      <c r="AJ67" s="37">
        <f>COUNTIFS('Dietary Detail'!$R:$R,$A67,'Dietary Detail'!$T:$T,"&lt;"&amp;AA67,'Dietary Detail'!$U:$U,RIGHT(AJ$1,4))</f>
        <v>3</v>
      </c>
      <c r="AK67" s="37">
        <f>COUNTIFS('Dietary Detail'!$R:$R,$A67,'Dietary Detail'!$T:$T,"&lt;"&amp;$BH$3,'Dietary Detail'!$U:$U,RIGHT(AK$1,4))</f>
        <v>4</v>
      </c>
      <c r="AL67" s="37">
        <f>COUNTIFS('Dietary Detail'!$R:$R,$A67,'Dietary Detail'!$T:$T,"&lt;"&amp;$BH$4,'Dietary Detail'!$U:$U,RIGHT(AL$1,4))</f>
        <v>4</v>
      </c>
      <c r="AM67" s="37">
        <f>COUNTIFS('Dietary Detail'!$R:$R,$A67,'Dietary Detail'!$T:$T,"&lt;"&amp;$BH$5,'Dietary Detail'!$U:$U,RIGHT(AM$1,4))</f>
        <v>4</v>
      </c>
      <c r="AN67" s="12">
        <f>+Dietary_Sample[[#This Row],[Aide median]]*Dietary_Sample[[#This Row],[Aide Hours]]</f>
        <v>102089.79000000001</v>
      </c>
      <c r="AO67" s="12">
        <f>+Dietary_Sample[[#This Row],[Aide average]]*Dietary_Sample[[#This Row],[Aide Hours]]</f>
        <v>105545.48230769232</v>
      </c>
      <c r="AP67" s="12">
        <f>+Dietary_Sample[[#This Row],[Cook median]]*Dietary_Sample[[#This Row],[Cook Hours]]</f>
        <v>53390.446153846155</v>
      </c>
      <c r="AQ67" s="12">
        <f>+Dietary_Sample[[#This Row],[Cook average]]*Dietary_Sample[[#This Row],[Cook Hours]]</f>
        <v>53545.952307692314</v>
      </c>
      <c r="AR67" s="12">
        <f>+Dietary_Sample[[#This Row],[Est average Aide wage cost]]+Dietary_Sample[[#This Row],[Est average Cook wage cost]]</f>
        <v>159091.43461538464</v>
      </c>
      <c r="AS67" s="12">
        <f>+Dietary_Sample[[#This Row],[Est average Aide wage cost]]+Dietary_Sample[[#This Row],[Est average Cook wage cost]]</f>
        <v>159091.43461538464</v>
      </c>
      <c r="AT67" s="14">
        <f>IF(Dietary_Sample[[#This Row],[Aide cost estimator]]=0,0,Dietary_Sample[[#This Row],[Est median Aide wage cost ]]/Dietary_Sample[[#This Row],[Aide cost estimator]])</f>
        <v>0.91205732409924301</v>
      </c>
      <c r="AU67" s="14">
        <f>IF(Dietary_Sample[[#This Row],[Aide cost estimator]]=0,0,Dietary_Sample[[#This Row],[Est average Aide wage cost]]/Dietary_Sample[[#This Row],[Aide cost estimator]])</f>
        <v>0.94293004387919543</v>
      </c>
      <c r="AV67" s="14">
        <f>IF(Dietary_Sample[[#This Row],[Cook cost estimator]]=0,0,Dietary_Sample[[#This Row],[Est median Cook wage cost]]/Dietary_Sample[[#This Row],[Cook cost estimator]])</f>
        <v>0.91205732409924312</v>
      </c>
      <c r="AW67" s="14">
        <f>IF(Dietary_Sample[[#This Row],[Cook cost estimator]]=0,0,Dietary_Sample[[#This Row],[Est average Cook wage cost]]/Dietary_Sample[[#This Row],[Cook cost estimator]])</f>
        <v>0.9147138017422507</v>
      </c>
      <c r="AX67" s="14">
        <f>IF(Dietary_Sample[[#This Row],[Aide median]]=0,0,Dietary_Sample[[#This Row],[Aide min]]/Dietary_Sample[[#This Row],[Aide median]])</f>
        <v>0.99009900990099009</v>
      </c>
      <c r="AY67" s="14">
        <f>IF(Dietary_Sample[[#This Row],[Aide median]]=0,0,Dietary_Sample[[#This Row],[Aide max]]/Dietary_Sample[[#This Row],[Aide median]])</f>
        <v>1.2947448591012947</v>
      </c>
      <c r="AZ67" s="14">
        <f>IF(Dietary_Sample[[#This Row],[Cook median]]=0,0,Dietary_Sample[[#This Row],[Cook min]]/Dietary_Sample[[#This Row],[Cook median]])</f>
        <v>0.970873786407767</v>
      </c>
      <c r="BA67" s="14">
        <f>IF(Dietary_Sample[[#This Row],[Cook median]]=0,0,Dietary_Sample[[#This Row],[Cook max]]/Dietary_Sample[[#This Row],[Cook median]])</f>
        <v>1.0407766990291261</v>
      </c>
      <c r="BB67" s="12">
        <f>VLOOKUP(A67,Summary!$1:$1048576,2,FALSE)</f>
        <v>2</v>
      </c>
    </row>
    <row r="68" spans="1:54" x14ac:dyDescent="0.55000000000000004">
      <c r="A68" s="10">
        <v>756</v>
      </c>
      <c r="B68" s="10" t="s">
        <v>54</v>
      </c>
      <c r="C68" s="10">
        <f>VLOOKUP($A68,'SAS Data'!$1:$1048576,MATCH(C$1,'SAS Data'!$3:$3,0),FALSE)</f>
        <v>3</v>
      </c>
      <c r="D68" s="10">
        <f>VLOOKUP($A68,'SAS Data'!$1:$1048576,MATCH(D$1,'SAS Data'!$3:$3,0),FALSE)</f>
        <v>5</v>
      </c>
      <c r="E68" s="10">
        <f t="shared" si="2"/>
        <v>8</v>
      </c>
      <c r="F68" s="11">
        <f>VLOOKUP($A68,'SAS Data'!$1:$1048576,MATCH(F$1,'SAS Data'!$3:$3,0),FALSE)</f>
        <v>14.059852670349908</v>
      </c>
      <c r="G68" s="12">
        <f>+Dietary_Sample[[#This Row],[Diet Cph]]*Dietary_Sample[[#This Row],[Diet Hrsn]]</f>
        <v>106883</v>
      </c>
      <c r="H6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58001.094137273583</v>
      </c>
      <c r="I68" s="17">
        <f>+Dietary_Sample[[#This Row],[Employee count Sample Data Aide]]/Dietary_Sample[[#This Row],[Total aide &amp; Cook]]*Dietary_Sample[[#This Row],[Diet Hrsn]]</f>
        <v>4561.2</v>
      </c>
      <c r="J68" s="13">
        <f>IF(Dietary_Sample[[#This Row],[Aide Hours]]=0,0,Dietary_Sample[[#This Row],[Aide cost estimator]]/Dietary_Sample[[#This Row],[Aide Hours]])</f>
        <v>12.716191821729717</v>
      </c>
      <c r="K6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48881.905862726402</v>
      </c>
      <c r="L68" s="17">
        <f>+Dietary_Sample[[#This Row],[Employee count Sample Data Cook]]/Dietary_Sample[[#This Row],[Total aide &amp; Cook]]*Dietary_Sample[[#This Row],[Diet Hrsn]]</f>
        <v>3040.8</v>
      </c>
      <c r="M68" s="13">
        <f>IF(Dietary_Sample[[#This Row],[Cook Hours]]=0,0,Dietary_Sample[[#This Row],[Cook cost estimator]]/Dietary_Sample[[#This Row],[Cook Hours]])</f>
        <v>16.075343943280188</v>
      </c>
      <c r="N68" s="12">
        <f>VLOOKUP(A68,'Estimator data 120523'!$A:$F,5,FALSE)</f>
        <v>106883</v>
      </c>
      <c r="O68" s="12">
        <f>VLOOKUP($A68,'SAS Data'!$1:$1048576,MATCH(O$1,'SAS Data'!$3:$3,0),FALSE)</f>
        <v>7602</v>
      </c>
      <c r="P68" s="13">
        <f>+Dietary_Sample[[#This Row],[Cost Estimator]]/Dietary_Sample[[#This Row],[Diet Hrsn]]</f>
        <v>14.059852670349908</v>
      </c>
      <c r="Q68" s="10">
        <f>COUNTIFS('Dietary Detail'!$R:$R,$A68,'Dietary Detail'!$U:$U,RIGHT(Q$1,4))</f>
        <v>6</v>
      </c>
      <c r="R68" s="10">
        <f>COUNTIFS('Dietary Detail'!$R:$R,$A68,'Dietary Detail'!$U:$U,RIGHT(R$1,4))</f>
        <v>4</v>
      </c>
      <c r="S68" s="10">
        <f>+Dietary_Sample[[#This Row],[Employee count Sample Data Aide]]+Dietary_Sample[[#This Row],[Employee count Sample Data Cook]]</f>
        <v>10</v>
      </c>
      <c r="T68" s="13">
        <v>14.14</v>
      </c>
      <c r="U68" s="13">
        <v>17.43</v>
      </c>
      <c r="V68" s="13">
        <v>15.18</v>
      </c>
      <c r="W68" s="13">
        <v>15.441666666666668</v>
      </c>
      <c r="X68" s="13">
        <v>18.73</v>
      </c>
      <c r="Y68" s="13">
        <v>19.7</v>
      </c>
      <c r="Z68" s="13">
        <v>19.190000000000001</v>
      </c>
      <c r="AA68" s="13">
        <v>19.202500000000001</v>
      </c>
      <c r="AB68" s="13">
        <f>IF(AND(Dietary_Sample[[#This Row],[Aide median]]=0,Dietary_Sample[[#This Row],[Cook median]]=0),0,IF(Dietary_Sample[[#This Row],[Aide median]]=0,1,Dietary_Sample[[#This Row],[Cook median]]/Dietary_Sample[[#This Row],[Aide median]]))</f>
        <v>1.2641633728590251</v>
      </c>
      <c r="AC68" s="13">
        <f>IF(AND(Dietary_Sample[[#This Row],[Aide average]]=0,Dietary_Sample[[#This Row],[Cook average]]=0),0,IF(Dietary_Sample[[#This Row],[Aide average]]=0,1,Dietary_Sample[[#This Row],[Cook average]]/Dietary_Sample[[#This Row],[Aide average]]))</f>
        <v>1.2435509983810036</v>
      </c>
      <c r="AD68" s="37">
        <f>COUNTIFS('Dietary Detail'!$R:$R,$A68,'Dietary Detail'!$T:$T,"&lt;"&amp;V68,'Dietary Detail'!$U:$U,RIGHT(AD$1,4))</f>
        <v>3</v>
      </c>
      <c r="AE68" s="37">
        <f>COUNTIFS('Dietary Detail'!$R:$R,$A68,'Dietary Detail'!$T:$T,"&lt;"&amp;W68,'Dietary Detail'!$U:$U,RIGHT(AE$1,4))</f>
        <v>3</v>
      </c>
      <c r="AF68" s="37">
        <f>COUNTIFS('Dietary Detail'!$R:$R,$A68,'Dietary Detail'!$T:$T,"&lt;"&amp;$BG$3,'Dietary Detail'!$U:$U,RIGHT(AF$1,4))</f>
        <v>6</v>
      </c>
      <c r="AG68" s="37">
        <f>COUNTIFS('Dietary Detail'!$R:$R,$A68,'Dietary Detail'!$T:$T,"&lt;"&amp;$BG$4,'Dietary Detail'!$U:$U,RIGHT(AG$1,4))</f>
        <v>5</v>
      </c>
      <c r="AH68" s="37">
        <f>COUNTIFS('Dietary Detail'!$R:$R,$A68,'Dietary Detail'!$T:$T,"&lt;"&amp;$BG$5,'Dietary Detail'!$U:$U,RIGHT(AH$1,4))</f>
        <v>5</v>
      </c>
      <c r="AI68" s="37">
        <f>COUNTIFS('Dietary Detail'!$R:$R,$A68,'Dietary Detail'!$T:$T,"&lt;"&amp;Z68,'Dietary Detail'!$U:$U,RIGHT(AI$1,4))</f>
        <v>1</v>
      </c>
      <c r="AJ68" s="37">
        <f>COUNTIFS('Dietary Detail'!$R:$R,$A68,'Dietary Detail'!$T:$T,"&lt;"&amp;AA68,'Dietary Detail'!$U:$U,RIGHT(AJ$1,4))</f>
        <v>3</v>
      </c>
      <c r="AK68" s="37">
        <f>COUNTIFS('Dietary Detail'!$R:$R,$A68,'Dietary Detail'!$T:$T,"&lt;"&amp;$BH$3,'Dietary Detail'!$U:$U,RIGHT(AK$1,4))</f>
        <v>4</v>
      </c>
      <c r="AL68" s="37">
        <f>COUNTIFS('Dietary Detail'!$R:$R,$A68,'Dietary Detail'!$T:$T,"&lt;"&amp;$BH$4,'Dietary Detail'!$U:$U,RIGHT(AL$1,4))</f>
        <v>4</v>
      </c>
      <c r="AM68" s="37">
        <f>COUNTIFS('Dietary Detail'!$R:$R,$A68,'Dietary Detail'!$T:$T,"&lt;"&amp;$BH$5,'Dietary Detail'!$U:$U,RIGHT(AM$1,4))</f>
        <v>4</v>
      </c>
      <c r="AN68" s="12">
        <f>+Dietary_Sample[[#This Row],[Aide median]]*Dietary_Sample[[#This Row],[Aide Hours]]</f>
        <v>69239.015999999989</v>
      </c>
      <c r="AO68" s="12">
        <f>+Dietary_Sample[[#This Row],[Aide average]]*Dietary_Sample[[#This Row],[Aide Hours]]</f>
        <v>70432.53</v>
      </c>
      <c r="AP68" s="12">
        <f>+Dietary_Sample[[#This Row],[Cook median]]*Dietary_Sample[[#This Row],[Cook Hours]]</f>
        <v>58352.952000000005</v>
      </c>
      <c r="AQ68" s="12">
        <f>+Dietary_Sample[[#This Row],[Cook average]]*Dietary_Sample[[#This Row],[Cook Hours]]</f>
        <v>58390.962000000007</v>
      </c>
      <c r="AR68" s="12">
        <f>+Dietary_Sample[[#This Row],[Est average Aide wage cost]]+Dietary_Sample[[#This Row],[Est average Cook wage cost]]</f>
        <v>128823.492</v>
      </c>
      <c r="AS68" s="12">
        <f>+Dietary_Sample[[#This Row],[Est average Aide wage cost]]+Dietary_Sample[[#This Row],[Est average Cook wage cost]]</f>
        <v>128823.492</v>
      </c>
      <c r="AT68" s="14">
        <f>IF(Dietary_Sample[[#This Row],[Aide cost estimator]]=0,0,Dietary_Sample[[#This Row],[Est median Aide wage cost ]]/Dietary_Sample[[#This Row],[Aide cost estimator]])</f>
        <v>1.1937536184425961</v>
      </c>
      <c r="AU68" s="14">
        <f>IF(Dietary_Sample[[#This Row],[Aide cost estimator]]=0,0,Dietary_Sample[[#This Row],[Est average Aide wage cost]]/Dietary_Sample[[#This Row],[Aide cost estimator]])</f>
        <v>1.2143310578470197</v>
      </c>
      <c r="AV68" s="14">
        <f>IF(Dietary_Sample[[#This Row],[Cook cost estimator]]=0,0,Dietary_Sample[[#This Row],[Est median Cook wage cost]]/Dietary_Sample[[#This Row],[Cook cost estimator]])</f>
        <v>1.1937536184425963</v>
      </c>
      <c r="AW68" s="14">
        <f>IF(Dietary_Sample[[#This Row],[Cook cost estimator]]=0,0,Dietary_Sample[[#This Row],[Est average Cook wage cost]]/Dietary_Sample[[#This Row],[Cook cost estimator]])</f>
        <v>1.1945312067818632</v>
      </c>
      <c r="AX68" s="14">
        <f>IF(Dietary_Sample[[#This Row],[Aide median]]=0,0,Dietary_Sample[[#This Row],[Aide min]]/Dietary_Sample[[#This Row],[Aide median]])</f>
        <v>0.93148880105401854</v>
      </c>
      <c r="AY68" s="14">
        <f>IF(Dietary_Sample[[#This Row],[Aide median]]=0,0,Dietary_Sample[[#This Row],[Aide max]]/Dietary_Sample[[#This Row],[Aide median]])</f>
        <v>1.1482213438735178</v>
      </c>
      <c r="AZ68" s="14">
        <f>IF(Dietary_Sample[[#This Row],[Cook median]]=0,0,Dietary_Sample[[#This Row],[Cook min]]/Dietary_Sample[[#This Row],[Cook median]])</f>
        <v>0.97602918186555498</v>
      </c>
      <c r="BA68" s="14">
        <f>IF(Dietary_Sample[[#This Row],[Cook median]]=0,0,Dietary_Sample[[#This Row],[Cook max]]/Dietary_Sample[[#This Row],[Cook median]])</f>
        <v>1.0265763418447107</v>
      </c>
      <c r="BB68" s="12">
        <f>VLOOKUP(A68,Summary!$1:$1048576,2,FALSE)</f>
        <v>2</v>
      </c>
    </row>
    <row r="69" spans="1:54" x14ac:dyDescent="0.55000000000000004">
      <c r="A69" s="10">
        <v>766</v>
      </c>
      <c r="B69" s="10" t="s">
        <v>54</v>
      </c>
      <c r="C69" s="10">
        <f>VLOOKUP($A69,'SAS Data'!$1:$1048576,MATCH(C$1,'SAS Data'!$3:$3,0),FALSE)</f>
        <v>7</v>
      </c>
      <c r="D69" s="10">
        <f>VLOOKUP($A69,'SAS Data'!$1:$1048576,MATCH(D$1,'SAS Data'!$3:$3,0),FALSE)</f>
        <v>2</v>
      </c>
      <c r="E69" s="10">
        <f t="shared" si="2"/>
        <v>9</v>
      </c>
      <c r="F69" s="11">
        <f>VLOOKUP($A69,'SAS Data'!$1:$1048576,MATCH(F$1,'SAS Data'!$3:$3,0),FALSE)</f>
        <v>0</v>
      </c>
      <c r="G69" s="12">
        <f>+Dietary_Sample[[#This Row],[Diet Cph]]*Dietary_Sample[[#This Row],[Diet Hrsn]]</f>
        <v>0</v>
      </c>
      <c r="H6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0</v>
      </c>
      <c r="I69" s="17">
        <f>+Dietary_Sample[[#This Row],[Employee count Sample Data Aide]]/Dietary_Sample[[#This Row],[Total aide &amp; Cook]]*Dietary_Sample[[#This Row],[Diet Hrsn]]</f>
        <v>0</v>
      </c>
      <c r="J69" s="13">
        <f>IF(Dietary_Sample[[#This Row],[Aide Hours]]=0,0,Dietary_Sample[[#This Row],[Aide cost estimator]]/Dietary_Sample[[#This Row],[Aide Hours]])</f>
        <v>0</v>
      </c>
      <c r="K6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295480.49976678449</v>
      </c>
      <c r="L69" s="17">
        <f>+Dietary_Sample[[#This Row],[Employee count Sample Data Cook]]/Dietary_Sample[[#This Row],[Total aide &amp; Cook]]*Dietary_Sample[[#This Row],[Diet Hrsn]]</f>
        <v>14489</v>
      </c>
      <c r="M69" s="13">
        <f>IF(Dietary_Sample[[#This Row],[Cook Hours]]=0,0,Dietary_Sample[[#This Row],[Cook cost estimator]]/Dietary_Sample[[#This Row],[Cook Hours]])</f>
        <v>20.393436383931569</v>
      </c>
      <c r="N69" s="12">
        <f>VLOOKUP(A69,'Estimator data 120523'!$A:$F,5,FALSE)</f>
        <v>295480.49976678449</v>
      </c>
      <c r="O69" s="12">
        <f>VLOOKUP($A69,'SAS Data'!$1:$1048576,MATCH(O$1,'SAS Data'!$3:$3,0),FALSE)</f>
        <v>14489</v>
      </c>
      <c r="P69" s="13">
        <f>+Dietary_Sample[[#This Row],[Cost Estimator]]/Dietary_Sample[[#This Row],[Diet Hrsn]]</f>
        <v>20.393436383931569</v>
      </c>
      <c r="Q69" s="10">
        <f>COUNTIFS('Dietary Detail'!$R:$R,$A69,'Dietary Detail'!$U:$U,RIGHT(Q$1,4))</f>
        <v>0</v>
      </c>
      <c r="R69" s="10">
        <f>COUNTIFS('Dietary Detail'!$R:$R,$A69,'Dietary Detail'!$U:$U,RIGHT(R$1,4))</f>
        <v>7</v>
      </c>
      <c r="S69" s="10">
        <f>+Dietary_Sample[[#This Row],[Employee count Sample Data Aide]]+Dietary_Sample[[#This Row],[Employee count Sample Data Cook]]</f>
        <v>7</v>
      </c>
      <c r="T69" s="13">
        <v>0</v>
      </c>
      <c r="U69" s="13">
        <v>0</v>
      </c>
      <c r="V69" s="13">
        <v>0</v>
      </c>
      <c r="W69" s="13">
        <v>0</v>
      </c>
      <c r="X69" s="13">
        <v>18.73</v>
      </c>
      <c r="Y69" s="13">
        <v>24.78</v>
      </c>
      <c r="Z69" s="13">
        <v>19.68</v>
      </c>
      <c r="AA69" s="13">
        <v>20.375714285714285</v>
      </c>
      <c r="AB69" s="13">
        <f>IF(AND(Dietary_Sample[[#This Row],[Aide median]]=0,Dietary_Sample[[#This Row],[Cook median]]=0),0,IF(Dietary_Sample[[#This Row],[Aide median]]=0,1,Dietary_Sample[[#This Row],[Cook median]]/Dietary_Sample[[#This Row],[Aide median]]))</f>
        <v>1</v>
      </c>
      <c r="AC69" s="13">
        <f>IF(AND(Dietary_Sample[[#This Row],[Aide average]]=0,Dietary_Sample[[#This Row],[Cook average]]=0),0,IF(Dietary_Sample[[#This Row],[Aide average]]=0,1,Dietary_Sample[[#This Row],[Cook average]]/Dietary_Sample[[#This Row],[Aide average]]))</f>
        <v>1</v>
      </c>
      <c r="AD69" s="37">
        <f>COUNTIFS('Dietary Detail'!$R:$R,$A69,'Dietary Detail'!$T:$T,"&lt;"&amp;V69,'Dietary Detail'!$U:$U,RIGHT(AD$1,4))</f>
        <v>0</v>
      </c>
      <c r="AE69" s="37">
        <f>COUNTIFS('Dietary Detail'!$R:$R,$A69,'Dietary Detail'!$T:$T,"&lt;"&amp;W69,'Dietary Detail'!$U:$U,RIGHT(AE$1,4))</f>
        <v>0</v>
      </c>
      <c r="AF69" s="37">
        <f>COUNTIFS('Dietary Detail'!$R:$R,$A69,'Dietary Detail'!$T:$T,"&lt;"&amp;$BG$3,'Dietary Detail'!$U:$U,RIGHT(AF$1,4))</f>
        <v>0</v>
      </c>
      <c r="AG69" s="37">
        <f>COUNTIFS('Dietary Detail'!$R:$R,$A69,'Dietary Detail'!$T:$T,"&lt;"&amp;$BG$4,'Dietary Detail'!$U:$U,RIGHT(AG$1,4))</f>
        <v>0</v>
      </c>
      <c r="AH69" s="37">
        <f>COUNTIFS('Dietary Detail'!$R:$R,$A69,'Dietary Detail'!$T:$T,"&lt;"&amp;$BG$5,'Dietary Detail'!$U:$U,RIGHT(AH$1,4))</f>
        <v>0</v>
      </c>
      <c r="AI69" s="37">
        <f>COUNTIFS('Dietary Detail'!$R:$R,$A69,'Dietary Detail'!$T:$T,"&lt;"&amp;Z69,'Dietary Detail'!$U:$U,RIGHT(AI$1,4))</f>
        <v>2</v>
      </c>
      <c r="AJ69" s="37">
        <f>COUNTIFS('Dietary Detail'!$R:$R,$A69,'Dietary Detail'!$T:$T,"&lt;"&amp;AA69,'Dietary Detail'!$U:$U,RIGHT(AJ$1,4))</f>
        <v>5</v>
      </c>
      <c r="AK69" s="37">
        <f>COUNTIFS('Dietary Detail'!$R:$R,$A69,'Dietary Detail'!$T:$T,"&lt;"&amp;$BH$3,'Dietary Detail'!$U:$U,RIGHT(AK$1,4))</f>
        <v>7</v>
      </c>
      <c r="AL69" s="37">
        <f>COUNTIFS('Dietary Detail'!$R:$R,$A69,'Dietary Detail'!$T:$T,"&lt;"&amp;$BH$4,'Dietary Detail'!$U:$U,RIGHT(AL$1,4))</f>
        <v>4</v>
      </c>
      <c r="AM69" s="37">
        <f>COUNTIFS('Dietary Detail'!$R:$R,$A69,'Dietary Detail'!$T:$T,"&lt;"&amp;$BH$5,'Dietary Detail'!$U:$U,RIGHT(AM$1,4))</f>
        <v>4</v>
      </c>
      <c r="AN69" s="12">
        <f>+Dietary_Sample[[#This Row],[Aide median]]*Dietary_Sample[[#This Row],[Aide Hours]]</f>
        <v>0</v>
      </c>
      <c r="AO69" s="12">
        <f>+Dietary_Sample[[#This Row],[Aide average]]*Dietary_Sample[[#This Row],[Aide Hours]]</f>
        <v>0</v>
      </c>
      <c r="AP69" s="12">
        <f>+Dietary_Sample[[#This Row],[Cook median]]*Dietary_Sample[[#This Row],[Cook Hours]]</f>
        <v>285143.52</v>
      </c>
      <c r="AQ69" s="12">
        <f>+Dietary_Sample[[#This Row],[Cook average]]*Dietary_Sample[[#This Row],[Cook Hours]]</f>
        <v>295223.72428571427</v>
      </c>
      <c r="AR69" s="12">
        <f>+Dietary_Sample[[#This Row],[Est average Aide wage cost]]+Dietary_Sample[[#This Row],[Est average Cook wage cost]]</f>
        <v>295223.72428571427</v>
      </c>
      <c r="AS69" s="12">
        <f>+Dietary_Sample[[#This Row],[Est average Aide wage cost]]+Dietary_Sample[[#This Row],[Est average Cook wage cost]]</f>
        <v>295223.72428571427</v>
      </c>
      <c r="AT69" s="14">
        <f>IF(Dietary_Sample[[#This Row],[Aide cost estimator]]=0,0,Dietary_Sample[[#This Row],[Est median Aide wage cost ]]/Dietary_Sample[[#This Row],[Aide cost estimator]])</f>
        <v>0</v>
      </c>
      <c r="AU69" s="14">
        <f>IF(Dietary_Sample[[#This Row],[Aide cost estimator]]=0,0,Dietary_Sample[[#This Row],[Est average Aide wage cost]]/Dietary_Sample[[#This Row],[Aide cost estimator]])</f>
        <v>0</v>
      </c>
      <c r="AV69" s="14">
        <f>IF(Dietary_Sample[[#This Row],[Cook cost estimator]]=0,0,Dietary_Sample[[#This Row],[Est median Cook wage cost]]/Dietary_Sample[[#This Row],[Cook cost estimator]])</f>
        <v>0.96501637240040139</v>
      </c>
      <c r="AW69" s="14">
        <f>IF(Dietary_Sample[[#This Row],[Cook cost estimator]]=0,0,Dietary_Sample[[#This Row],[Est average Cook wage cost]]/Dietary_Sample[[#This Row],[Cook cost estimator]])</f>
        <v>0.99913099009486961</v>
      </c>
      <c r="AX69" s="14">
        <f>IF(Dietary_Sample[[#This Row],[Aide median]]=0,0,Dietary_Sample[[#This Row],[Aide min]]/Dietary_Sample[[#This Row],[Aide median]])</f>
        <v>0</v>
      </c>
      <c r="AY69" s="14">
        <f>IF(Dietary_Sample[[#This Row],[Aide median]]=0,0,Dietary_Sample[[#This Row],[Aide max]]/Dietary_Sample[[#This Row],[Aide median]])</f>
        <v>0</v>
      </c>
      <c r="AZ69" s="14">
        <f>IF(Dietary_Sample[[#This Row],[Cook median]]=0,0,Dietary_Sample[[#This Row],[Cook min]]/Dietary_Sample[[#This Row],[Cook median]])</f>
        <v>0.95172764227642281</v>
      </c>
      <c r="BA69" s="14">
        <f>IF(Dietary_Sample[[#This Row],[Cook median]]=0,0,Dietary_Sample[[#This Row],[Cook max]]/Dietary_Sample[[#This Row],[Cook median]])</f>
        <v>1.2591463414634148</v>
      </c>
      <c r="BB69" s="12">
        <f>VLOOKUP(A69,Summary!$1:$1048576,2,FALSE)</f>
        <v>2</v>
      </c>
    </row>
    <row r="70" spans="1:54" x14ac:dyDescent="0.55000000000000004">
      <c r="A70" s="10">
        <v>771</v>
      </c>
      <c r="B70" s="10" t="s">
        <v>54</v>
      </c>
      <c r="C70" s="10">
        <f>VLOOKUP($A70,'SAS Data'!$1:$1048576,MATCH(C$1,'SAS Data'!$3:$3,0),FALSE)</f>
        <v>5</v>
      </c>
      <c r="D70" s="10">
        <f>VLOOKUP($A70,'SAS Data'!$1:$1048576,MATCH(D$1,'SAS Data'!$3:$3,0),FALSE)</f>
        <v>4</v>
      </c>
      <c r="E70" s="10">
        <f t="shared" si="2"/>
        <v>9</v>
      </c>
      <c r="F70" s="11">
        <f>VLOOKUP($A70,'SAS Data'!$1:$1048576,MATCH(F$1,'SAS Data'!$3:$3,0),FALSE)</f>
        <v>13.389594095940959</v>
      </c>
      <c r="G70" s="12">
        <f>+Dietary_Sample[[#This Row],[Diet Cph]]*Dietary_Sample[[#This Row],[Diet Hrsn]]</f>
        <v>181429</v>
      </c>
      <c r="H7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114863.07750247771</v>
      </c>
      <c r="I70" s="17">
        <f>+Dietary_Sample[[#This Row],[Employee count Sample Data Aide]]/Dietary_Sample[[#This Row],[Total aide &amp; Cook]]*Dietary_Sample[[#This Row],[Diet Hrsn]]</f>
        <v>9033.3333333333321</v>
      </c>
      <c r="J70" s="13">
        <f>IF(Dietary_Sample[[#This Row],[Aide Hours]]=0,0,Dietary_Sample[[#This Row],[Aide cost estimator]]/Dietary_Sample[[#This Row],[Aide Hours]])</f>
        <v>12.715469834222626</v>
      </c>
      <c r="K7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66565.922497522304</v>
      </c>
      <c r="L70" s="17">
        <f>+Dietary_Sample[[#This Row],[Employee count Sample Data Cook]]/Dietary_Sample[[#This Row],[Total aide &amp; Cook]]*Dietary_Sample[[#This Row],[Diet Hrsn]]</f>
        <v>4516.6666666666661</v>
      </c>
      <c r="M70" s="13">
        <f>IF(Dietary_Sample[[#This Row],[Cook Hours]]=0,0,Dietary_Sample[[#This Row],[Cook cost estimator]]/Dietary_Sample[[#This Row],[Cook Hours]])</f>
        <v>14.737842619377634</v>
      </c>
      <c r="N70" s="12">
        <f>VLOOKUP(A70,'Estimator data 120523'!$A:$F,5,FALSE)</f>
        <v>181429</v>
      </c>
      <c r="O70" s="12">
        <f>VLOOKUP($A70,'SAS Data'!$1:$1048576,MATCH(O$1,'SAS Data'!$3:$3,0),FALSE)</f>
        <v>13550</v>
      </c>
      <c r="P70" s="13">
        <f>+Dietary_Sample[[#This Row],[Cost Estimator]]/Dietary_Sample[[#This Row],[Diet Hrsn]]</f>
        <v>13.389594095940959</v>
      </c>
      <c r="Q70" s="10">
        <f>COUNTIFS('Dietary Detail'!$R:$R,$A70,'Dietary Detail'!$U:$U,RIGHT(Q$1,4))</f>
        <v>6</v>
      </c>
      <c r="R70" s="10">
        <f>COUNTIFS('Dietary Detail'!$R:$R,$A70,'Dietary Detail'!$U:$U,RIGHT(R$1,4))</f>
        <v>3</v>
      </c>
      <c r="S70" s="10">
        <f>+Dietary_Sample[[#This Row],[Employee count Sample Data Aide]]+Dietary_Sample[[#This Row],[Employee count Sample Data Cook]]</f>
        <v>9</v>
      </c>
      <c r="T70" s="13">
        <v>15.97</v>
      </c>
      <c r="U70" s="13">
        <v>15.97</v>
      </c>
      <c r="V70" s="13">
        <v>15.97</v>
      </c>
      <c r="W70" s="13">
        <v>15.97</v>
      </c>
      <c r="X70" s="13">
        <v>17.510000000000002</v>
      </c>
      <c r="Y70" s="13">
        <v>18.510000000000002</v>
      </c>
      <c r="Z70" s="13">
        <v>18.510000000000002</v>
      </c>
      <c r="AA70" s="13">
        <v>18.176666666666666</v>
      </c>
      <c r="AB70" s="13">
        <f>IF(AND(Dietary_Sample[[#This Row],[Aide median]]=0,Dietary_Sample[[#This Row],[Cook median]]=0),0,IF(Dietary_Sample[[#This Row],[Aide median]]=0,1,Dietary_Sample[[#This Row],[Cook median]]/Dietary_Sample[[#This Row],[Aide median]]))</f>
        <v>1.1590482154038824</v>
      </c>
      <c r="AC70" s="13">
        <f>IF(AND(Dietary_Sample[[#This Row],[Aide average]]=0,Dietary_Sample[[#This Row],[Cook average]]=0),0,IF(Dietary_Sample[[#This Row],[Aide average]]=0,1,Dietary_Sample[[#This Row],[Cook average]]/Dietary_Sample[[#This Row],[Aide average]]))</f>
        <v>1.1381757461907742</v>
      </c>
      <c r="AD70" s="37">
        <f>COUNTIFS('Dietary Detail'!$R:$R,$A70,'Dietary Detail'!$T:$T,"&lt;"&amp;V70,'Dietary Detail'!$U:$U,RIGHT(AD$1,4))</f>
        <v>0</v>
      </c>
      <c r="AE70" s="37">
        <f>COUNTIFS('Dietary Detail'!$R:$R,$A70,'Dietary Detail'!$T:$T,"&lt;"&amp;W70,'Dietary Detail'!$U:$U,RIGHT(AE$1,4))</f>
        <v>0</v>
      </c>
      <c r="AF70" s="37">
        <f>COUNTIFS('Dietary Detail'!$R:$R,$A70,'Dietary Detail'!$T:$T,"&lt;"&amp;$BG$3,'Dietary Detail'!$U:$U,RIGHT(AF$1,4))</f>
        <v>6</v>
      </c>
      <c r="AG70" s="37">
        <f>COUNTIFS('Dietary Detail'!$R:$R,$A70,'Dietary Detail'!$T:$T,"&lt;"&amp;$BG$4,'Dietary Detail'!$U:$U,RIGHT(AG$1,4))</f>
        <v>6</v>
      </c>
      <c r="AH70" s="37">
        <f>COUNTIFS('Dietary Detail'!$R:$R,$A70,'Dietary Detail'!$T:$T,"&lt;"&amp;$BG$5,'Dietary Detail'!$U:$U,RIGHT(AH$1,4))</f>
        <v>6</v>
      </c>
      <c r="AI70" s="37">
        <f>COUNTIFS('Dietary Detail'!$R:$R,$A70,'Dietary Detail'!$T:$T,"&lt;"&amp;Z70,'Dietary Detail'!$U:$U,RIGHT(AI$1,4))</f>
        <v>1</v>
      </c>
      <c r="AJ70" s="37">
        <f>COUNTIFS('Dietary Detail'!$R:$R,$A70,'Dietary Detail'!$T:$T,"&lt;"&amp;AA70,'Dietary Detail'!$U:$U,RIGHT(AJ$1,4))</f>
        <v>1</v>
      </c>
      <c r="AK70" s="37">
        <f>COUNTIFS('Dietary Detail'!$R:$R,$A70,'Dietary Detail'!$T:$T,"&lt;"&amp;$BH$3,'Dietary Detail'!$U:$U,RIGHT(AK$1,4))</f>
        <v>3</v>
      </c>
      <c r="AL70" s="37">
        <f>COUNTIFS('Dietary Detail'!$R:$R,$A70,'Dietary Detail'!$T:$T,"&lt;"&amp;$BH$4,'Dietary Detail'!$U:$U,RIGHT(AL$1,4))</f>
        <v>3</v>
      </c>
      <c r="AM70" s="37">
        <f>COUNTIFS('Dietary Detail'!$R:$R,$A70,'Dietary Detail'!$T:$T,"&lt;"&amp;$BH$5,'Dietary Detail'!$U:$U,RIGHT(AM$1,4))</f>
        <v>3</v>
      </c>
      <c r="AN70" s="12">
        <f>+Dietary_Sample[[#This Row],[Aide median]]*Dietary_Sample[[#This Row],[Aide Hours]]</f>
        <v>144262.33333333331</v>
      </c>
      <c r="AO70" s="12">
        <f>+Dietary_Sample[[#This Row],[Aide average]]*Dietary_Sample[[#This Row],[Aide Hours]]</f>
        <v>144262.33333333331</v>
      </c>
      <c r="AP70" s="12">
        <f>+Dietary_Sample[[#This Row],[Cook median]]*Dietary_Sample[[#This Row],[Cook Hours]]</f>
        <v>83603.5</v>
      </c>
      <c r="AQ70" s="12">
        <f>+Dietary_Sample[[#This Row],[Cook average]]*Dietary_Sample[[#This Row],[Cook Hours]]</f>
        <v>82097.944444444423</v>
      </c>
      <c r="AR70" s="12">
        <f>+Dietary_Sample[[#This Row],[Est average Aide wage cost]]+Dietary_Sample[[#This Row],[Est average Cook wage cost]]</f>
        <v>226360.27777777775</v>
      </c>
      <c r="AS70" s="12">
        <f>+Dietary_Sample[[#This Row],[Est average Aide wage cost]]+Dietary_Sample[[#This Row],[Est average Cook wage cost]]</f>
        <v>226360.27777777775</v>
      </c>
      <c r="AT70" s="14">
        <f>IF(Dietary_Sample[[#This Row],[Aide cost estimator]]=0,0,Dietary_Sample[[#This Row],[Est median Aide wage cost ]]/Dietary_Sample[[#This Row],[Aide cost estimator]])</f>
        <v>1.2559504452614152</v>
      </c>
      <c r="AU70" s="14">
        <f>IF(Dietary_Sample[[#This Row],[Aide cost estimator]]=0,0,Dietary_Sample[[#This Row],[Est average Aide wage cost]]/Dietary_Sample[[#This Row],[Aide cost estimator]])</f>
        <v>1.2559504452614152</v>
      </c>
      <c r="AV70" s="14">
        <f>IF(Dietary_Sample[[#This Row],[Cook cost estimator]]=0,0,Dietary_Sample[[#This Row],[Est median Cook wage cost]]/Dietary_Sample[[#This Row],[Cook cost estimator]])</f>
        <v>1.2559504452614152</v>
      </c>
      <c r="AW70" s="14">
        <f>IF(Dietary_Sample[[#This Row],[Cook cost estimator]]=0,0,Dietary_Sample[[#This Row],[Est average Cook wage cost]]/Dietary_Sample[[#This Row],[Cook cost estimator]])</f>
        <v>1.2333329331911571</v>
      </c>
      <c r="AX70" s="14">
        <f>IF(Dietary_Sample[[#This Row],[Aide median]]=0,0,Dietary_Sample[[#This Row],[Aide min]]/Dietary_Sample[[#This Row],[Aide median]])</f>
        <v>1</v>
      </c>
      <c r="AY70" s="14">
        <f>IF(Dietary_Sample[[#This Row],[Aide median]]=0,0,Dietary_Sample[[#This Row],[Aide max]]/Dietary_Sample[[#This Row],[Aide median]])</f>
        <v>1</v>
      </c>
      <c r="AZ70" s="14">
        <f>IF(Dietary_Sample[[#This Row],[Cook median]]=0,0,Dietary_Sample[[#This Row],[Cook min]]/Dietary_Sample[[#This Row],[Cook median]])</f>
        <v>0.94597514856834142</v>
      </c>
      <c r="BA70" s="14">
        <f>IF(Dietary_Sample[[#This Row],[Cook median]]=0,0,Dietary_Sample[[#This Row],[Cook max]]/Dietary_Sample[[#This Row],[Cook median]])</f>
        <v>1</v>
      </c>
      <c r="BB70" s="12">
        <f>VLOOKUP(A70,Summary!$1:$1048576,2,FALSE)</f>
        <v>2</v>
      </c>
    </row>
    <row r="71" spans="1:54" x14ac:dyDescent="0.55000000000000004">
      <c r="A71" s="10">
        <v>776</v>
      </c>
      <c r="B71" s="10" t="s">
        <v>54</v>
      </c>
      <c r="C71" s="10">
        <f>VLOOKUP($A71,'SAS Data'!$1:$1048576,MATCH(C$1,'SAS Data'!$3:$3,0),FALSE)</f>
        <v>6</v>
      </c>
      <c r="D71" s="10">
        <f>VLOOKUP($A71,'SAS Data'!$1:$1048576,MATCH(D$1,'SAS Data'!$3:$3,0),FALSE)</f>
        <v>3</v>
      </c>
      <c r="E71" s="10">
        <f t="shared" si="2"/>
        <v>9</v>
      </c>
      <c r="F71" s="11">
        <f>VLOOKUP($A71,'SAS Data'!$1:$1048576,MATCH(F$1,'SAS Data'!$3:$3,0),FALSE)</f>
        <v>18.466422648838424</v>
      </c>
      <c r="G71" s="12">
        <f>+Dietary_Sample[[#This Row],[Diet Cph]]*Dietary_Sample[[#This Row],[Diet Hrsn]]</f>
        <v>247210</v>
      </c>
      <c r="H7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151072.77777777775</v>
      </c>
      <c r="I71" s="17">
        <f>+Dietary_Sample[[#This Row],[Employee count Sample Data Aide]]/Dietary_Sample[[#This Row],[Total aide &amp; Cook]]*Dietary_Sample[[#This Row],[Diet Hrsn]]</f>
        <v>8924.6666666666661</v>
      </c>
      <c r="J71" s="13">
        <f>IF(Dietary_Sample[[#This Row],[Aide Hours]]=0,0,Dietary_Sample[[#This Row],[Aide cost estimator]]/Dietary_Sample[[#This Row],[Aide Hours]])</f>
        <v>16.927554094768556</v>
      </c>
      <c r="K7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96137.222222222219</v>
      </c>
      <c r="L71" s="17">
        <f>+Dietary_Sample[[#This Row],[Employee count Sample Data Cook]]/Dietary_Sample[[#This Row],[Total aide &amp; Cook]]*Dietary_Sample[[#This Row],[Diet Hrsn]]</f>
        <v>4462.333333333333</v>
      </c>
      <c r="M71" s="13">
        <f>IF(Dietary_Sample[[#This Row],[Cook Hours]]=0,0,Dietary_Sample[[#This Row],[Cook cost estimator]]/Dietary_Sample[[#This Row],[Cook Hours]])</f>
        <v>21.544159756978164</v>
      </c>
      <c r="N71" s="12">
        <f>VLOOKUP(A71,'Estimator data 120523'!$A:$F,5,FALSE)</f>
        <v>247210</v>
      </c>
      <c r="O71" s="12">
        <f>VLOOKUP($A71,'SAS Data'!$1:$1048576,MATCH(O$1,'SAS Data'!$3:$3,0),FALSE)</f>
        <v>13387</v>
      </c>
      <c r="P71" s="13">
        <f>+Dietary_Sample[[#This Row],[Cost Estimator]]/Dietary_Sample[[#This Row],[Diet Hrsn]]</f>
        <v>18.466422648838424</v>
      </c>
      <c r="Q71" s="10">
        <f>COUNTIFS('Dietary Detail'!$R:$R,$A71,'Dietary Detail'!$U:$U,RIGHT(Q$1,4))</f>
        <v>6</v>
      </c>
      <c r="R71" s="10">
        <f>COUNTIFS('Dietary Detail'!$R:$R,$A71,'Dietary Detail'!$U:$U,RIGHT(R$1,4))</f>
        <v>3</v>
      </c>
      <c r="S71" s="10">
        <f>+Dietary_Sample[[#This Row],[Employee count Sample Data Aide]]+Dietary_Sample[[#This Row],[Employee count Sample Data Cook]]</f>
        <v>9</v>
      </c>
      <c r="T71" s="13">
        <v>16.5</v>
      </c>
      <c r="U71" s="13">
        <v>19</v>
      </c>
      <c r="V71" s="13">
        <v>16.5</v>
      </c>
      <c r="W71" s="13">
        <v>17.166666666666668</v>
      </c>
      <c r="X71" s="13">
        <v>18</v>
      </c>
      <c r="Y71" s="13">
        <v>21</v>
      </c>
      <c r="Z71" s="13">
        <v>21</v>
      </c>
      <c r="AA71" s="13">
        <v>20</v>
      </c>
      <c r="AB71" s="13">
        <f>IF(AND(Dietary_Sample[[#This Row],[Aide median]]=0,Dietary_Sample[[#This Row],[Cook median]]=0),0,IF(Dietary_Sample[[#This Row],[Aide median]]=0,1,Dietary_Sample[[#This Row],[Cook median]]/Dietary_Sample[[#This Row],[Aide median]]))</f>
        <v>1.2727272727272727</v>
      </c>
      <c r="AC71" s="13">
        <f>IF(AND(Dietary_Sample[[#This Row],[Aide average]]=0,Dietary_Sample[[#This Row],[Cook average]]=0),0,IF(Dietary_Sample[[#This Row],[Aide average]]=0,1,Dietary_Sample[[#This Row],[Cook average]]/Dietary_Sample[[#This Row],[Aide average]]))</f>
        <v>1.1650485436893203</v>
      </c>
      <c r="AD71" s="37">
        <f>COUNTIFS('Dietary Detail'!$R:$R,$A71,'Dietary Detail'!$T:$T,"&lt;"&amp;V71,'Dietary Detail'!$U:$U,RIGHT(AD$1,4))</f>
        <v>0</v>
      </c>
      <c r="AE71" s="37">
        <f>COUNTIFS('Dietary Detail'!$R:$R,$A71,'Dietary Detail'!$T:$T,"&lt;"&amp;W71,'Dietary Detail'!$U:$U,RIGHT(AE$1,4))</f>
        <v>4</v>
      </c>
      <c r="AF71" s="37">
        <f>COUNTIFS('Dietary Detail'!$R:$R,$A71,'Dietary Detail'!$T:$T,"&lt;"&amp;$BG$3,'Dietary Detail'!$U:$U,RIGHT(AF$1,4))</f>
        <v>6</v>
      </c>
      <c r="AG71" s="37">
        <f>COUNTIFS('Dietary Detail'!$R:$R,$A71,'Dietary Detail'!$T:$T,"&lt;"&amp;$BG$4,'Dietary Detail'!$U:$U,RIGHT(AG$1,4))</f>
        <v>0</v>
      </c>
      <c r="AH71" s="37">
        <f>COUNTIFS('Dietary Detail'!$R:$R,$A71,'Dietary Detail'!$T:$T,"&lt;"&amp;$BG$5,'Dietary Detail'!$U:$U,RIGHT(AH$1,4))</f>
        <v>4</v>
      </c>
      <c r="AI71" s="37">
        <f>COUNTIFS('Dietary Detail'!$R:$R,$A71,'Dietary Detail'!$T:$T,"&lt;"&amp;Z71,'Dietary Detail'!$U:$U,RIGHT(AI$1,4))</f>
        <v>1</v>
      </c>
      <c r="AJ71" s="37">
        <f>COUNTIFS('Dietary Detail'!$R:$R,$A71,'Dietary Detail'!$T:$T,"&lt;"&amp;AA71,'Dietary Detail'!$U:$U,RIGHT(AJ$1,4))</f>
        <v>1</v>
      </c>
      <c r="AK71" s="37">
        <f>COUNTIFS('Dietary Detail'!$R:$R,$A71,'Dietary Detail'!$T:$T,"&lt;"&amp;$BH$3,'Dietary Detail'!$U:$U,RIGHT(AK$1,4))</f>
        <v>3</v>
      </c>
      <c r="AL71" s="37">
        <f>COUNTIFS('Dietary Detail'!$R:$R,$A71,'Dietary Detail'!$T:$T,"&lt;"&amp;$BH$4,'Dietary Detail'!$U:$U,RIGHT(AL$1,4))</f>
        <v>1</v>
      </c>
      <c r="AM71" s="37">
        <f>COUNTIFS('Dietary Detail'!$R:$R,$A71,'Dietary Detail'!$T:$T,"&lt;"&amp;$BH$5,'Dietary Detail'!$U:$U,RIGHT(AM$1,4))</f>
        <v>1</v>
      </c>
      <c r="AN71" s="12">
        <f>+Dietary_Sample[[#This Row],[Aide median]]*Dietary_Sample[[#This Row],[Aide Hours]]</f>
        <v>147257</v>
      </c>
      <c r="AO71" s="12">
        <f>+Dietary_Sample[[#This Row],[Aide average]]*Dietary_Sample[[#This Row],[Aide Hours]]</f>
        <v>153206.77777777778</v>
      </c>
      <c r="AP71" s="12">
        <f>+Dietary_Sample[[#This Row],[Cook median]]*Dietary_Sample[[#This Row],[Cook Hours]]</f>
        <v>93709</v>
      </c>
      <c r="AQ71" s="12">
        <f>+Dietary_Sample[[#This Row],[Cook average]]*Dietary_Sample[[#This Row],[Cook Hours]]</f>
        <v>89246.666666666657</v>
      </c>
      <c r="AR71" s="12">
        <f>+Dietary_Sample[[#This Row],[Est average Aide wage cost]]+Dietary_Sample[[#This Row],[Est average Cook wage cost]]</f>
        <v>242453.44444444444</v>
      </c>
      <c r="AS71" s="12">
        <f>+Dietary_Sample[[#This Row],[Est average Aide wage cost]]+Dietary_Sample[[#This Row],[Est average Cook wage cost]]</f>
        <v>242453.44444444444</v>
      </c>
      <c r="AT71" s="14">
        <f>IF(Dietary_Sample[[#This Row],[Aide cost estimator]]=0,0,Dietary_Sample[[#This Row],[Est median Aide wage cost ]]/Dietary_Sample[[#This Row],[Aide cost estimator]])</f>
        <v>0.97474212208244015</v>
      </c>
      <c r="AU71" s="14">
        <f>IF(Dietary_Sample[[#This Row],[Aide cost estimator]]=0,0,Dietary_Sample[[#This Row],[Est average Aide wage cost]]/Dietary_Sample[[#This Row],[Aide cost estimator]])</f>
        <v>1.0141256421665792</v>
      </c>
      <c r="AV71" s="14">
        <f>IF(Dietary_Sample[[#This Row],[Cook cost estimator]]=0,0,Dietary_Sample[[#This Row],[Est median Cook wage cost]]/Dietary_Sample[[#This Row],[Cook cost estimator]])</f>
        <v>0.97474212208244004</v>
      </c>
      <c r="AW71" s="14">
        <f>IF(Dietary_Sample[[#This Row],[Cook cost estimator]]=0,0,Dietary_Sample[[#This Row],[Est average Cook wage cost]]/Dietary_Sample[[#This Row],[Cook cost estimator]])</f>
        <v>0.92832583055470475</v>
      </c>
      <c r="AX71" s="14">
        <f>IF(Dietary_Sample[[#This Row],[Aide median]]=0,0,Dietary_Sample[[#This Row],[Aide min]]/Dietary_Sample[[#This Row],[Aide median]])</f>
        <v>1</v>
      </c>
      <c r="AY71" s="14">
        <f>IF(Dietary_Sample[[#This Row],[Aide median]]=0,0,Dietary_Sample[[#This Row],[Aide max]]/Dietary_Sample[[#This Row],[Aide median]])</f>
        <v>1.1515151515151516</v>
      </c>
      <c r="AZ71" s="14">
        <f>IF(Dietary_Sample[[#This Row],[Cook median]]=0,0,Dietary_Sample[[#This Row],[Cook min]]/Dietary_Sample[[#This Row],[Cook median]])</f>
        <v>0.8571428571428571</v>
      </c>
      <c r="BA71" s="14">
        <f>IF(Dietary_Sample[[#This Row],[Cook median]]=0,0,Dietary_Sample[[#This Row],[Cook max]]/Dietary_Sample[[#This Row],[Cook median]])</f>
        <v>1</v>
      </c>
      <c r="BB71" s="12">
        <f>VLOOKUP(A71,Summary!$1:$1048576,2,FALSE)</f>
        <v>1</v>
      </c>
    </row>
    <row r="72" spans="1:54" x14ac:dyDescent="0.55000000000000004">
      <c r="A72" s="10">
        <v>777</v>
      </c>
      <c r="B72" s="10" t="s">
        <v>54</v>
      </c>
      <c r="C72" s="10">
        <f>VLOOKUP($A72,'SAS Data'!$1:$1048576,MATCH(C$1,'SAS Data'!$3:$3,0),FALSE)</f>
        <v>6</v>
      </c>
      <c r="D72" s="10">
        <f>VLOOKUP($A72,'SAS Data'!$1:$1048576,MATCH(D$1,'SAS Data'!$3:$3,0),FALSE)</f>
        <v>2</v>
      </c>
      <c r="E72" s="10">
        <f t="shared" si="2"/>
        <v>8</v>
      </c>
      <c r="F72" s="11">
        <f>VLOOKUP($A72,'SAS Data'!$1:$1048576,MATCH(F$1,'SAS Data'!$3:$3,0),FALSE)</f>
        <v>12.51603498542274</v>
      </c>
      <c r="G72" s="12">
        <f>+Dietary_Sample[[#This Row],[Diet Cph]]*Dietary_Sample[[#This Row],[Diet Hrsn]]</f>
        <v>150255</v>
      </c>
      <c r="H7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59978.374361356247</v>
      </c>
      <c r="I72" s="17">
        <f>+Dietary_Sample[[#This Row],[Employee count Sample Data Aide]]/Dietary_Sample[[#This Row],[Total aide &amp; Cook]]*Dietary_Sample[[#This Row],[Diet Hrsn]]</f>
        <v>5335.5555555555557</v>
      </c>
      <c r="J72" s="13">
        <f>IF(Dietary_Sample[[#This Row],[Aide Hours]]=0,0,Dietary_Sample[[#This Row],[Aide cost estimator]]/Dietary_Sample[[#This Row],[Aide Hours]])</f>
        <v>11.241261333865186</v>
      </c>
      <c r="K7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90276.62563864376</v>
      </c>
      <c r="L72" s="17">
        <f>+Dietary_Sample[[#This Row],[Employee count Sample Data Cook]]/Dietary_Sample[[#This Row],[Total aide &amp; Cook]]*Dietary_Sample[[#This Row],[Diet Hrsn]]</f>
        <v>6669.4444444444443</v>
      </c>
      <c r="M72" s="13">
        <f>IF(Dietary_Sample[[#This Row],[Cook Hours]]=0,0,Dietary_Sample[[#This Row],[Cook cost estimator]]/Dietary_Sample[[#This Row],[Cook Hours]])</f>
        <v>13.535853906668786</v>
      </c>
      <c r="N72" s="12">
        <f>VLOOKUP(A72,'Estimator data 120523'!$A:$F,5,FALSE)</f>
        <v>150255</v>
      </c>
      <c r="O72" s="12">
        <f>VLOOKUP($A72,'SAS Data'!$1:$1048576,MATCH(O$1,'SAS Data'!$3:$3,0),FALSE)</f>
        <v>12005</v>
      </c>
      <c r="P72" s="13">
        <f>+Dietary_Sample[[#This Row],[Cost Estimator]]/Dietary_Sample[[#This Row],[Diet Hrsn]]</f>
        <v>12.51603498542274</v>
      </c>
      <c r="Q72" s="10">
        <f>COUNTIFS('Dietary Detail'!$R:$R,$A72,'Dietary Detail'!$U:$U,RIGHT(Q$1,4))</f>
        <v>4</v>
      </c>
      <c r="R72" s="10">
        <f>COUNTIFS('Dietary Detail'!$R:$R,$A72,'Dietary Detail'!$U:$U,RIGHT(R$1,4))</f>
        <v>5</v>
      </c>
      <c r="S72" s="10">
        <f>+Dietary_Sample[[#This Row],[Employee count Sample Data Aide]]+Dietary_Sample[[#This Row],[Employee count Sample Data Cook]]</f>
        <v>9</v>
      </c>
      <c r="T72" s="13">
        <v>14.18</v>
      </c>
      <c r="U72" s="13">
        <v>17.170000000000002</v>
      </c>
      <c r="V72" s="13">
        <v>15.04</v>
      </c>
      <c r="W72" s="13">
        <v>15.357500000000002</v>
      </c>
      <c r="X72" s="13">
        <v>17.559999999999999</v>
      </c>
      <c r="Y72" s="13">
        <v>19.57</v>
      </c>
      <c r="Z72" s="13">
        <v>18.11</v>
      </c>
      <c r="AA72" s="13">
        <v>18.361999999999998</v>
      </c>
      <c r="AB72" s="13">
        <f>IF(AND(Dietary_Sample[[#This Row],[Aide median]]=0,Dietary_Sample[[#This Row],[Cook median]]=0),0,IF(Dietary_Sample[[#This Row],[Aide median]]=0,1,Dietary_Sample[[#This Row],[Cook median]]/Dietary_Sample[[#This Row],[Aide median]]))</f>
        <v>1.2041223404255319</v>
      </c>
      <c r="AC72" s="13">
        <f>IF(AND(Dietary_Sample[[#This Row],[Aide average]]=0,Dietary_Sample[[#This Row],[Cook average]]=0),0,IF(Dietary_Sample[[#This Row],[Aide average]]=0,1,Dietary_Sample[[#This Row],[Cook average]]/Dietary_Sample[[#This Row],[Aide average]]))</f>
        <v>1.1956373107602147</v>
      </c>
      <c r="AD72" s="37">
        <f>COUNTIFS('Dietary Detail'!$R:$R,$A72,'Dietary Detail'!$T:$T,"&lt;"&amp;V72,'Dietary Detail'!$U:$U,RIGHT(AD$1,4))</f>
        <v>2</v>
      </c>
      <c r="AE72" s="37">
        <f>COUNTIFS('Dietary Detail'!$R:$R,$A72,'Dietary Detail'!$T:$T,"&lt;"&amp;W72,'Dietary Detail'!$U:$U,RIGHT(AE$1,4))</f>
        <v>3</v>
      </c>
      <c r="AF72" s="37">
        <f>COUNTIFS('Dietary Detail'!$R:$R,$A72,'Dietary Detail'!$T:$T,"&lt;"&amp;$BG$3,'Dietary Detail'!$U:$U,RIGHT(AF$1,4))</f>
        <v>4</v>
      </c>
      <c r="AG72" s="37">
        <f>COUNTIFS('Dietary Detail'!$R:$R,$A72,'Dietary Detail'!$T:$T,"&lt;"&amp;$BG$4,'Dietary Detail'!$U:$U,RIGHT(AG$1,4))</f>
        <v>3</v>
      </c>
      <c r="AH72" s="37">
        <f>COUNTIFS('Dietary Detail'!$R:$R,$A72,'Dietary Detail'!$T:$T,"&lt;"&amp;$BG$5,'Dietary Detail'!$U:$U,RIGHT(AH$1,4))</f>
        <v>3</v>
      </c>
      <c r="AI72" s="37">
        <f>COUNTIFS('Dietary Detail'!$R:$R,$A72,'Dietary Detail'!$T:$T,"&lt;"&amp;Z72,'Dietary Detail'!$U:$U,RIGHT(AI$1,4))</f>
        <v>2</v>
      </c>
      <c r="AJ72" s="37">
        <f>COUNTIFS('Dietary Detail'!$R:$R,$A72,'Dietary Detail'!$T:$T,"&lt;"&amp;AA72,'Dietary Detail'!$U:$U,RIGHT(AJ$1,4))</f>
        <v>3</v>
      </c>
      <c r="AK72" s="37">
        <f>COUNTIFS('Dietary Detail'!$R:$R,$A72,'Dietary Detail'!$T:$T,"&lt;"&amp;$BH$3,'Dietary Detail'!$U:$U,RIGHT(AK$1,4))</f>
        <v>5</v>
      </c>
      <c r="AL72" s="37">
        <f>COUNTIFS('Dietary Detail'!$R:$R,$A72,'Dietary Detail'!$T:$T,"&lt;"&amp;$BH$4,'Dietary Detail'!$U:$U,RIGHT(AL$1,4))</f>
        <v>5</v>
      </c>
      <c r="AM72" s="37">
        <f>COUNTIFS('Dietary Detail'!$R:$R,$A72,'Dietary Detail'!$T:$T,"&lt;"&amp;$BH$5,'Dietary Detail'!$U:$U,RIGHT(AM$1,4))</f>
        <v>5</v>
      </c>
      <c r="AN72" s="12">
        <f>+Dietary_Sample[[#This Row],[Aide median]]*Dietary_Sample[[#This Row],[Aide Hours]]</f>
        <v>80246.755555555559</v>
      </c>
      <c r="AO72" s="12">
        <f>+Dietary_Sample[[#This Row],[Aide average]]*Dietary_Sample[[#This Row],[Aide Hours]]</f>
        <v>81940.794444444458</v>
      </c>
      <c r="AP72" s="12">
        <f>+Dietary_Sample[[#This Row],[Cook median]]*Dietary_Sample[[#This Row],[Cook Hours]]</f>
        <v>120783.63888888889</v>
      </c>
      <c r="AQ72" s="12">
        <f>+Dietary_Sample[[#This Row],[Cook average]]*Dietary_Sample[[#This Row],[Cook Hours]]</f>
        <v>122464.33888888887</v>
      </c>
      <c r="AR72" s="12">
        <f>+Dietary_Sample[[#This Row],[Est average Aide wage cost]]+Dietary_Sample[[#This Row],[Est average Cook wage cost]]</f>
        <v>204405.13333333333</v>
      </c>
      <c r="AS72" s="12">
        <f>+Dietary_Sample[[#This Row],[Est average Aide wage cost]]+Dietary_Sample[[#This Row],[Est average Cook wage cost]]</f>
        <v>204405.13333333333</v>
      </c>
      <c r="AT72" s="14">
        <f>IF(Dietary_Sample[[#This Row],[Aide cost estimator]]=0,0,Dietary_Sample[[#This Row],[Est median Aide wage cost ]]/Dietary_Sample[[#This Row],[Aide cost estimator]])</f>
        <v>1.3379281517716179</v>
      </c>
      <c r="AU72" s="14">
        <f>IF(Dietary_Sample[[#This Row],[Aide cost estimator]]=0,0,Dietary_Sample[[#This Row],[Est average Aide wage cost]]/Dietary_Sample[[#This Row],[Aide cost estimator]])</f>
        <v>1.3661723132202543</v>
      </c>
      <c r="AV72" s="14">
        <f>IF(Dietary_Sample[[#This Row],[Cook cost estimator]]=0,0,Dietary_Sample[[#This Row],[Est median Cook wage cost]]/Dietary_Sample[[#This Row],[Cook cost estimator]])</f>
        <v>1.3379281517716177</v>
      </c>
      <c r="AW72" s="14">
        <f>IF(Dietary_Sample[[#This Row],[Cook cost estimator]]=0,0,Dietary_Sample[[#This Row],[Est average Cook wage cost]]/Dietary_Sample[[#This Row],[Cook cost estimator]])</f>
        <v>1.3565453739829068</v>
      </c>
      <c r="AX72" s="14">
        <f>IF(Dietary_Sample[[#This Row],[Aide median]]=0,0,Dietary_Sample[[#This Row],[Aide min]]/Dietary_Sample[[#This Row],[Aide median]])</f>
        <v>0.94281914893617025</v>
      </c>
      <c r="AY72" s="14">
        <f>IF(Dietary_Sample[[#This Row],[Aide median]]=0,0,Dietary_Sample[[#This Row],[Aide max]]/Dietary_Sample[[#This Row],[Aide median]])</f>
        <v>1.1416223404255321</v>
      </c>
      <c r="AZ72" s="14">
        <f>IF(Dietary_Sample[[#This Row],[Cook median]]=0,0,Dietary_Sample[[#This Row],[Cook min]]/Dietary_Sample[[#This Row],[Cook median]])</f>
        <v>0.96963003865267805</v>
      </c>
      <c r="BA72" s="14">
        <f>IF(Dietary_Sample[[#This Row],[Cook median]]=0,0,Dietary_Sample[[#This Row],[Cook max]]/Dietary_Sample[[#This Row],[Cook median]])</f>
        <v>1.0806184428492547</v>
      </c>
      <c r="BB72" s="12">
        <f>VLOOKUP(A72,Summary!$1:$1048576,2,FALSE)</f>
        <v>2</v>
      </c>
    </row>
    <row r="73" spans="1:54" x14ac:dyDescent="0.55000000000000004">
      <c r="A73" s="10">
        <v>783</v>
      </c>
      <c r="B73" s="10" t="s">
        <v>54</v>
      </c>
      <c r="C73" s="10">
        <f>VLOOKUP($A73,'SAS Data'!$1:$1048576,MATCH(C$1,'SAS Data'!$3:$3,0),FALSE)</f>
        <v>6</v>
      </c>
      <c r="D73" s="10">
        <f>VLOOKUP($A73,'SAS Data'!$1:$1048576,MATCH(D$1,'SAS Data'!$3:$3,0),FALSE)</f>
        <v>13</v>
      </c>
      <c r="E73" s="10">
        <f t="shared" si="2"/>
        <v>19</v>
      </c>
      <c r="F73" s="11">
        <f>VLOOKUP($A73,'SAS Data'!$1:$1048576,MATCH(F$1,'SAS Data'!$3:$3,0),FALSE)</f>
        <v>13.796046502207638</v>
      </c>
      <c r="G73" s="12">
        <f>+Dietary_Sample[[#This Row],[Diet Cph]]*Dietary_Sample[[#This Row],[Diet Hrsn]]</f>
        <v>340582.99999999994</v>
      </c>
      <c r="H7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231961.56936721309</v>
      </c>
      <c r="I73" s="17">
        <f>+Dietary_Sample[[#This Row],[Employee count Sample Data Aide]]/Dietary_Sample[[#This Row],[Total aide &amp; Cook]]*Dietary_Sample[[#This Row],[Diet Hrsn]]</f>
        <v>18103.8</v>
      </c>
      <c r="J73" s="13">
        <f>IF(Dietary_Sample[[#This Row],[Aide Hours]]=0,0,Dietary_Sample[[#This Row],[Aide cost estimator]]/Dietary_Sample[[#This Row],[Aide Hours]])</f>
        <v>12.812866324595561</v>
      </c>
      <c r="K7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108621.43063278693</v>
      </c>
      <c r="L73" s="17">
        <f>+Dietary_Sample[[#This Row],[Employee count Sample Data Cook]]/Dietary_Sample[[#This Row],[Total aide &amp; Cook]]*Dietary_Sample[[#This Row],[Diet Hrsn]]</f>
        <v>6583.2</v>
      </c>
      <c r="M73" s="13">
        <f>IF(Dietary_Sample[[#This Row],[Cook Hours]]=0,0,Dietary_Sample[[#This Row],[Cook cost estimator]]/Dietary_Sample[[#This Row],[Cook Hours]])</f>
        <v>16.499791990640862</v>
      </c>
      <c r="N73" s="12">
        <f>VLOOKUP(A73,'Estimator data 120523'!$A:$F,5,FALSE)</f>
        <v>340583</v>
      </c>
      <c r="O73" s="12">
        <f>VLOOKUP($A73,'SAS Data'!$1:$1048576,MATCH(O$1,'SAS Data'!$3:$3,0),FALSE)</f>
        <v>24687</v>
      </c>
      <c r="P73" s="13">
        <f>+Dietary_Sample[[#This Row],[Cost Estimator]]/Dietary_Sample[[#This Row],[Diet Hrsn]]</f>
        <v>13.79604650220764</v>
      </c>
      <c r="Q73" s="10">
        <f>COUNTIFS('Dietary Detail'!$R:$R,$A73,'Dietary Detail'!$U:$U,RIGHT(Q$1,4))</f>
        <v>11</v>
      </c>
      <c r="R73" s="10">
        <f>COUNTIFS('Dietary Detail'!$R:$R,$A73,'Dietary Detail'!$U:$U,RIGHT(R$1,4))</f>
        <v>4</v>
      </c>
      <c r="S73" s="10">
        <f>+Dietary_Sample[[#This Row],[Employee count Sample Data Aide]]+Dietary_Sample[[#This Row],[Employee count Sample Data Cook]]</f>
        <v>15</v>
      </c>
      <c r="T73" s="13">
        <v>13.42</v>
      </c>
      <c r="U73" s="13">
        <v>18.73</v>
      </c>
      <c r="V73" s="13">
        <v>13.7</v>
      </c>
      <c r="W73" s="13">
        <v>14.291372727272726</v>
      </c>
      <c r="X73" s="13">
        <v>15.42</v>
      </c>
      <c r="Y73" s="13">
        <v>21.084299999999999</v>
      </c>
      <c r="Z73" s="13">
        <v>17.642200000000003</v>
      </c>
      <c r="AA73" s="13">
        <v>17.947175000000001</v>
      </c>
      <c r="AB73" s="13">
        <f>IF(AND(Dietary_Sample[[#This Row],[Aide median]]=0,Dietary_Sample[[#This Row],[Cook median]]=0),0,IF(Dietary_Sample[[#This Row],[Aide median]]=0,1,Dietary_Sample[[#This Row],[Cook median]]/Dietary_Sample[[#This Row],[Aide median]]))</f>
        <v>1.2877518248175186</v>
      </c>
      <c r="AC73" s="13">
        <f>IF(AND(Dietary_Sample[[#This Row],[Aide average]]=0,Dietary_Sample[[#This Row],[Cook average]]=0),0,IF(Dietary_Sample[[#This Row],[Aide average]]=0,1,Dietary_Sample[[#This Row],[Cook average]]/Dietary_Sample[[#This Row],[Aide average]]))</f>
        <v>1.2558048371204245</v>
      </c>
      <c r="AD73" s="37">
        <f>COUNTIFS('Dietary Detail'!$R:$R,$A73,'Dietary Detail'!$T:$T,"&lt;"&amp;V73,'Dietary Detail'!$U:$U,RIGHT(AD$1,4))</f>
        <v>5</v>
      </c>
      <c r="AE73" s="37">
        <f>COUNTIFS('Dietary Detail'!$R:$R,$A73,'Dietary Detail'!$T:$T,"&lt;"&amp;W73,'Dietary Detail'!$U:$U,RIGHT(AE$1,4))</f>
        <v>9</v>
      </c>
      <c r="AF73" s="37">
        <f>COUNTIFS('Dietary Detail'!$R:$R,$A73,'Dietary Detail'!$T:$T,"&lt;"&amp;$BG$3,'Dietary Detail'!$U:$U,RIGHT(AF$1,4))</f>
        <v>11</v>
      </c>
      <c r="AG73" s="37">
        <f>COUNTIFS('Dietary Detail'!$R:$R,$A73,'Dietary Detail'!$T:$T,"&lt;"&amp;$BG$4,'Dietary Detail'!$U:$U,RIGHT(AG$1,4))</f>
        <v>10</v>
      </c>
      <c r="AH73" s="37">
        <f>COUNTIFS('Dietary Detail'!$R:$R,$A73,'Dietary Detail'!$T:$T,"&lt;"&amp;$BG$5,'Dietary Detail'!$U:$U,RIGHT(AH$1,4))</f>
        <v>10</v>
      </c>
      <c r="AI73" s="37">
        <f>COUNTIFS('Dietary Detail'!$R:$R,$A73,'Dietary Detail'!$T:$T,"&lt;"&amp;Z73,'Dietary Detail'!$U:$U,RIGHT(AI$1,4))</f>
        <v>2</v>
      </c>
      <c r="AJ73" s="37">
        <f>COUNTIFS('Dietary Detail'!$R:$R,$A73,'Dietary Detail'!$T:$T,"&lt;"&amp;AA73,'Dietary Detail'!$U:$U,RIGHT(AJ$1,4))</f>
        <v>2</v>
      </c>
      <c r="AK73" s="37">
        <f>COUNTIFS('Dietary Detail'!$R:$R,$A73,'Dietary Detail'!$T:$T,"&lt;"&amp;$BH$3,'Dietary Detail'!$U:$U,RIGHT(AK$1,4))</f>
        <v>4</v>
      </c>
      <c r="AL73" s="37">
        <f>COUNTIFS('Dietary Detail'!$R:$R,$A73,'Dietary Detail'!$T:$T,"&lt;"&amp;$BH$4,'Dietary Detail'!$U:$U,RIGHT(AL$1,4))</f>
        <v>3</v>
      </c>
      <c r="AM73" s="37">
        <f>COUNTIFS('Dietary Detail'!$R:$R,$A73,'Dietary Detail'!$T:$T,"&lt;"&amp;$BH$5,'Dietary Detail'!$U:$U,RIGHT(AM$1,4))</f>
        <v>3</v>
      </c>
      <c r="AN73" s="12">
        <f>+Dietary_Sample[[#This Row],[Aide median]]*Dietary_Sample[[#This Row],[Aide Hours]]</f>
        <v>248022.05999999997</v>
      </c>
      <c r="AO73" s="12">
        <f>+Dietary_Sample[[#This Row],[Aide average]]*Dietary_Sample[[#This Row],[Aide Hours]]</f>
        <v>258728.15357999998</v>
      </c>
      <c r="AP73" s="12">
        <f>+Dietary_Sample[[#This Row],[Cook median]]*Dietary_Sample[[#This Row],[Cook Hours]]</f>
        <v>116142.13104000001</v>
      </c>
      <c r="AQ73" s="12">
        <f>+Dietary_Sample[[#This Row],[Cook average]]*Dietary_Sample[[#This Row],[Cook Hours]]</f>
        <v>118149.84246</v>
      </c>
      <c r="AR73" s="12">
        <f>+Dietary_Sample[[#This Row],[Est average Aide wage cost]]+Dietary_Sample[[#This Row],[Est average Cook wage cost]]</f>
        <v>376877.99604</v>
      </c>
      <c r="AS73" s="12">
        <f>+Dietary_Sample[[#This Row],[Est average Aide wage cost]]+Dietary_Sample[[#This Row],[Est average Cook wage cost]]</f>
        <v>376877.99604</v>
      </c>
      <c r="AT73" s="14">
        <f>IF(Dietary_Sample[[#This Row],[Aide cost estimator]]=0,0,Dietary_Sample[[#This Row],[Est median Aide wage cost ]]/Dietary_Sample[[#This Row],[Aide cost estimator]])</f>
        <v>1.0692377219062605</v>
      </c>
      <c r="AU73" s="14">
        <f>IF(Dietary_Sample[[#This Row],[Aide cost estimator]]=0,0,Dietary_Sample[[#This Row],[Est average Aide wage cost]]/Dietary_Sample[[#This Row],[Aide cost estimator]])</f>
        <v>1.1153923224687849</v>
      </c>
      <c r="AV73" s="14">
        <f>IF(Dietary_Sample[[#This Row],[Cook cost estimator]]=0,0,Dietary_Sample[[#This Row],[Est median Cook wage cost]]/Dietary_Sample[[#This Row],[Cook cost estimator]])</f>
        <v>1.0692377219062605</v>
      </c>
      <c r="AW73" s="14">
        <f>IF(Dietary_Sample[[#This Row],[Cook cost estimator]]=0,0,Dietary_Sample[[#This Row],[Est average Cook wage cost]]/Dietary_Sample[[#This Row],[Cook cost estimator]])</f>
        <v>1.0877212882550358</v>
      </c>
      <c r="AX73" s="14">
        <f>IF(Dietary_Sample[[#This Row],[Aide median]]=0,0,Dietary_Sample[[#This Row],[Aide min]]/Dietary_Sample[[#This Row],[Aide median]])</f>
        <v>0.97956204379562051</v>
      </c>
      <c r="AY73" s="14">
        <f>IF(Dietary_Sample[[#This Row],[Aide median]]=0,0,Dietary_Sample[[#This Row],[Aide max]]/Dietary_Sample[[#This Row],[Aide median]])</f>
        <v>1.3671532846715329</v>
      </c>
      <c r="AZ73" s="14">
        <f>IF(Dietary_Sample[[#This Row],[Cook median]]=0,0,Dietary_Sample[[#This Row],[Cook min]]/Dietary_Sample[[#This Row],[Cook median]])</f>
        <v>0.87404065252632879</v>
      </c>
      <c r="BA73" s="14">
        <f>IF(Dietary_Sample[[#This Row],[Cook median]]=0,0,Dietary_Sample[[#This Row],[Cook max]]/Dietary_Sample[[#This Row],[Cook median]])</f>
        <v>1.1951060525331305</v>
      </c>
      <c r="BB73" s="12">
        <f>VLOOKUP(A73,Summary!$1:$1048576,2,FALSE)</f>
        <v>2</v>
      </c>
    </row>
    <row r="74" spans="1:54" x14ac:dyDescent="0.55000000000000004">
      <c r="A74" s="10">
        <v>788</v>
      </c>
      <c r="B74" s="10" t="s">
        <v>54</v>
      </c>
      <c r="C74" s="10">
        <f>VLOOKUP($A74,'SAS Data'!$1:$1048576,MATCH(C$1,'SAS Data'!$3:$3,0),FALSE)</f>
        <v>16</v>
      </c>
      <c r="D74" s="10">
        <f>VLOOKUP($A74,'SAS Data'!$1:$1048576,MATCH(D$1,'SAS Data'!$3:$3,0),FALSE)</f>
        <v>7</v>
      </c>
      <c r="E74" s="10">
        <f t="shared" si="2"/>
        <v>23</v>
      </c>
      <c r="F74" s="11">
        <f>VLOOKUP($A74,'SAS Data'!$1:$1048576,MATCH(F$1,'SAS Data'!$3:$3,0),FALSE)</f>
        <v>21.841606960081879</v>
      </c>
      <c r="G74" s="12">
        <f>+Dietary_Sample[[#This Row],[Diet Cph]]*Dietary_Sample[[#This Row],[Diet Hrsn]]</f>
        <v>170713.99999999997</v>
      </c>
      <c r="H7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75760.650887573967</v>
      </c>
      <c r="I74" s="17">
        <f>+Dietary_Sample[[#This Row],[Employee count Sample Data Aide]]/Dietary_Sample[[#This Row],[Total aide &amp; Cook]]*Dietary_Sample[[#This Row],[Diet Hrsn]]</f>
        <v>3908</v>
      </c>
      <c r="J74" s="13">
        <f>IF(Dietary_Sample[[#This Row],[Aide Hours]]=0,0,Dietary_Sample[[#This Row],[Aide cost estimator]]/Dietary_Sample[[#This Row],[Aide Hours]])</f>
        <v>19.38604168054605</v>
      </c>
      <c r="K7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94953.349112426047</v>
      </c>
      <c r="L74" s="17">
        <f>+Dietary_Sample[[#This Row],[Employee count Sample Data Cook]]/Dietary_Sample[[#This Row],[Total aide &amp; Cook]]*Dietary_Sample[[#This Row],[Diet Hrsn]]</f>
        <v>3908</v>
      </c>
      <c r="M74" s="13">
        <f>IF(Dietary_Sample[[#This Row],[Cook Hours]]=0,0,Dietary_Sample[[#This Row],[Cook cost estimator]]/Dietary_Sample[[#This Row],[Cook Hours]])</f>
        <v>24.297172239617719</v>
      </c>
      <c r="N74" s="12">
        <f>VLOOKUP(A74,'Estimator data 120523'!$A:$F,5,FALSE)</f>
        <v>170714</v>
      </c>
      <c r="O74" s="12">
        <f>VLOOKUP($A74,'SAS Data'!$1:$1048576,MATCH(O$1,'SAS Data'!$3:$3,0),FALSE)</f>
        <v>7816</v>
      </c>
      <c r="P74" s="13">
        <f>+Dietary_Sample[[#This Row],[Cost Estimator]]/Dietary_Sample[[#This Row],[Diet Hrsn]]</f>
        <v>21.841606960081883</v>
      </c>
      <c r="Q74" s="10">
        <f>COUNTIFS('Dietary Detail'!$R:$R,$A74,'Dietary Detail'!$U:$U,RIGHT(Q$1,4))</f>
        <v>3</v>
      </c>
      <c r="R74" s="10">
        <f>COUNTIFS('Dietary Detail'!$R:$R,$A74,'Dietary Detail'!$U:$U,RIGHT(R$1,4))</f>
        <v>3</v>
      </c>
      <c r="S74" s="10">
        <f>+Dietary_Sample[[#This Row],[Employee count Sample Data Aide]]+Dietary_Sample[[#This Row],[Employee count Sample Data Cook]]</f>
        <v>6</v>
      </c>
      <c r="T74" s="13">
        <v>15</v>
      </c>
      <c r="U74" s="13">
        <v>15</v>
      </c>
      <c r="V74" s="13">
        <v>15</v>
      </c>
      <c r="W74" s="13">
        <v>15</v>
      </c>
      <c r="X74" s="13">
        <v>18.8</v>
      </c>
      <c r="Y74" s="13">
        <v>18.8</v>
      </c>
      <c r="Z74" s="13">
        <v>18.8</v>
      </c>
      <c r="AA74" s="13">
        <v>18.8</v>
      </c>
      <c r="AB74" s="13">
        <f>IF(AND(Dietary_Sample[[#This Row],[Aide median]]=0,Dietary_Sample[[#This Row],[Cook median]]=0),0,IF(Dietary_Sample[[#This Row],[Aide median]]=0,1,Dietary_Sample[[#This Row],[Cook median]]/Dietary_Sample[[#This Row],[Aide median]]))</f>
        <v>1.2533333333333334</v>
      </c>
      <c r="AC74" s="13">
        <f>IF(AND(Dietary_Sample[[#This Row],[Aide average]]=0,Dietary_Sample[[#This Row],[Cook average]]=0),0,IF(Dietary_Sample[[#This Row],[Aide average]]=0,1,Dietary_Sample[[#This Row],[Cook average]]/Dietary_Sample[[#This Row],[Aide average]]))</f>
        <v>1.2533333333333334</v>
      </c>
      <c r="AD74" s="37">
        <f>COUNTIFS('Dietary Detail'!$R:$R,$A74,'Dietary Detail'!$T:$T,"&lt;"&amp;V74,'Dietary Detail'!$U:$U,RIGHT(AD$1,4))</f>
        <v>0</v>
      </c>
      <c r="AE74" s="37">
        <f>COUNTIFS('Dietary Detail'!$R:$R,$A74,'Dietary Detail'!$T:$T,"&lt;"&amp;W74,'Dietary Detail'!$U:$U,RIGHT(AE$1,4))</f>
        <v>0</v>
      </c>
      <c r="AF74" s="37">
        <f>COUNTIFS('Dietary Detail'!$R:$R,$A74,'Dietary Detail'!$T:$T,"&lt;"&amp;$BG$3,'Dietary Detail'!$U:$U,RIGHT(AF$1,4))</f>
        <v>3</v>
      </c>
      <c r="AG74" s="37">
        <f>COUNTIFS('Dietary Detail'!$R:$R,$A74,'Dietary Detail'!$T:$T,"&lt;"&amp;$BG$4,'Dietary Detail'!$U:$U,RIGHT(AG$1,4))</f>
        <v>3</v>
      </c>
      <c r="AH74" s="37">
        <f>COUNTIFS('Dietary Detail'!$R:$R,$A74,'Dietary Detail'!$T:$T,"&lt;"&amp;$BG$5,'Dietary Detail'!$U:$U,RIGHT(AH$1,4))</f>
        <v>3</v>
      </c>
      <c r="AI74" s="37">
        <f>COUNTIFS('Dietary Detail'!$R:$R,$A74,'Dietary Detail'!$T:$T,"&lt;"&amp;Z74,'Dietary Detail'!$U:$U,RIGHT(AI$1,4))</f>
        <v>0</v>
      </c>
      <c r="AJ74" s="37">
        <f>COUNTIFS('Dietary Detail'!$R:$R,$A74,'Dietary Detail'!$T:$T,"&lt;"&amp;AA74,'Dietary Detail'!$U:$U,RIGHT(AJ$1,4))</f>
        <v>0</v>
      </c>
      <c r="AK74" s="37">
        <f>COUNTIFS('Dietary Detail'!$R:$R,$A74,'Dietary Detail'!$T:$T,"&lt;"&amp;$BH$3,'Dietary Detail'!$U:$U,RIGHT(AK$1,4))</f>
        <v>3</v>
      </c>
      <c r="AL74" s="37">
        <f>COUNTIFS('Dietary Detail'!$R:$R,$A74,'Dietary Detail'!$T:$T,"&lt;"&amp;$BH$4,'Dietary Detail'!$U:$U,RIGHT(AL$1,4))</f>
        <v>3</v>
      </c>
      <c r="AM74" s="37">
        <f>COUNTIFS('Dietary Detail'!$R:$R,$A74,'Dietary Detail'!$T:$T,"&lt;"&amp;$BH$5,'Dietary Detail'!$U:$U,RIGHT(AM$1,4))</f>
        <v>3</v>
      </c>
      <c r="AN74" s="12">
        <f>+Dietary_Sample[[#This Row],[Aide median]]*Dietary_Sample[[#This Row],[Aide Hours]]</f>
        <v>58620</v>
      </c>
      <c r="AO74" s="12">
        <f>+Dietary_Sample[[#This Row],[Aide average]]*Dietary_Sample[[#This Row],[Aide Hours]]</f>
        <v>58620</v>
      </c>
      <c r="AP74" s="12">
        <f>+Dietary_Sample[[#This Row],[Cook median]]*Dietary_Sample[[#This Row],[Cook Hours]]</f>
        <v>73470.400000000009</v>
      </c>
      <c r="AQ74" s="12">
        <f>+Dietary_Sample[[#This Row],[Cook average]]*Dietary_Sample[[#This Row],[Cook Hours]]</f>
        <v>73470.400000000009</v>
      </c>
      <c r="AR74" s="12">
        <f>+Dietary_Sample[[#This Row],[Est average Aide wage cost]]+Dietary_Sample[[#This Row],[Est average Cook wage cost]]</f>
        <v>132090.40000000002</v>
      </c>
      <c r="AS74" s="12">
        <f>+Dietary_Sample[[#This Row],[Est average Aide wage cost]]+Dietary_Sample[[#This Row],[Est average Cook wage cost]]</f>
        <v>132090.40000000002</v>
      </c>
      <c r="AT74" s="14">
        <f>IF(Dietary_Sample[[#This Row],[Aide cost estimator]]=0,0,Dietary_Sample[[#This Row],[Est median Aide wage cost ]]/Dietary_Sample[[#This Row],[Aide cost estimator]])</f>
        <v>0.77375259205454738</v>
      </c>
      <c r="AU74" s="14">
        <f>IF(Dietary_Sample[[#This Row],[Aide cost estimator]]=0,0,Dietary_Sample[[#This Row],[Est average Aide wage cost]]/Dietary_Sample[[#This Row],[Aide cost estimator]])</f>
        <v>0.77375259205454738</v>
      </c>
      <c r="AV74" s="14">
        <f>IF(Dietary_Sample[[#This Row],[Cook cost estimator]]=0,0,Dietary_Sample[[#This Row],[Est median Cook wage cost]]/Dietary_Sample[[#This Row],[Cook cost estimator]])</f>
        <v>0.77375259205454738</v>
      </c>
      <c r="AW74" s="14">
        <f>IF(Dietary_Sample[[#This Row],[Cook cost estimator]]=0,0,Dietary_Sample[[#This Row],[Est average Cook wage cost]]/Dietary_Sample[[#This Row],[Cook cost estimator]])</f>
        <v>0.77375259205454738</v>
      </c>
      <c r="AX74" s="14">
        <f>IF(Dietary_Sample[[#This Row],[Aide median]]=0,0,Dietary_Sample[[#This Row],[Aide min]]/Dietary_Sample[[#This Row],[Aide median]])</f>
        <v>1</v>
      </c>
      <c r="AY74" s="14">
        <f>IF(Dietary_Sample[[#This Row],[Aide median]]=0,0,Dietary_Sample[[#This Row],[Aide max]]/Dietary_Sample[[#This Row],[Aide median]])</f>
        <v>1</v>
      </c>
      <c r="AZ74" s="14">
        <f>IF(Dietary_Sample[[#This Row],[Cook median]]=0,0,Dietary_Sample[[#This Row],[Cook min]]/Dietary_Sample[[#This Row],[Cook median]])</f>
        <v>1</v>
      </c>
      <c r="BA74" s="14">
        <f>IF(Dietary_Sample[[#This Row],[Cook median]]=0,0,Dietary_Sample[[#This Row],[Cook max]]/Dietary_Sample[[#This Row],[Cook median]])</f>
        <v>1</v>
      </c>
      <c r="BB74" s="12">
        <f>VLOOKUP(A74,Summary!$1:$1048576,2,FALSE)</f>
        <v>3</v>
      </c>
    </row>
    <row r="75" spans="1:54" x14ac:dyDescent="0.55000000000000004">
      <c r="A75" s="10">
        <v>803</v>
      </c>
      <c r="B75" s="10" t="s">
        <v>54</v>
      </c>
      <c r="C75" s="10">
        <f>VLOOKUP($A75,'SAS Data'!$1:$1048576,MATCH(C$1,'SAS Data'!$3:$3,0),FALSE)</f>
        <v>4</v>
      </c>
      <c r="D75" s="10">
        <f>VLOOKUP($A75,'SAS Data'!$1:$1048576,MATCH(D$1,'SAS Data'!$3:$3,0),FALSE)</f>
        <v>3</v>
      </c>
      <c r="E75" s="10">
        <f t="shared" si="2"/>
        <v>7</v>
      </c>
      <c r="F75" s="11">
        <f>VLOOKUP($A75,'SAS Data'!$1:$1048576,MATCH(F$1,'SAS Data'!$3:$3,0),FALSE)</f>
        <v>18.010000000000002</v>
      </c>
      <c r="G75" s="12">
        <f>+Dietary_Sample[[#This Row],[Diet Cph]]*Dietary_Sample[[#This Row],[Diet Hrsn]]</f>
        <v>250339.00000000003</v>
      </c>
      <c r="H7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130372.79354239874</v>
      </c>
      <c r="I75" s="17">
        <f>+Dietary_Sample[[#This Row],[Employee count Sample Data Aide]]/Dietary_Sample[[#This Row],[Total aide &amp; Cook]]*Dietary_Sample[[#This Row],[Diet Hrsn]]</f>
        <v>7722.2222222222226</v>
      </c>
      <c r="J75" s="13">
        <f>IF(Dietary_Sample[[#This Row],[Aide Hours]]=0,0,Dietary_Sample[[#This Row],[Aide cost estimator]]/Dietary_Sample[[#This Row],[Aide Hours]])</f>
        <v>16.882807796857389</v>
      </c>
      <c r="K7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119966.20645760126</v>
      </c>
      <c r="L75" s="17">
        <f>+Dietary_Sample[[#This Row],[Employee count Sample Data Cook]]/Dietary_Sample[[#This Row],[Total aide &amp; Cook]]*Dietary_Sample[[#This Row],[Diet Hrsn]]</f>
        <v>6177.7777777777774</v>
      </c>
      <c r="M75" s="13">
        <f>IF(Dietary_Sample[[#This Row],[Cook Hours]]=0,0,Dietary_Sample[[#This Row],[Cook cost estimator]]/Dietary_Sample[[#This Row],[Cook Hours]])</f>
        <v>19.418990253928264</v>
      </c>
      <c r="N75" s="12">
        <f>VLOOKUP(A75,'Estimator data 120523'!$A:$F,5,FALSE)</f>
        <v>250339</v>
      </c>
      <c r="O75" s="12">
        <f>VLOOKUP($A75,'SAS Data'!$1:$1048576,MATCH(O$1,'SAS Data'!$3:$3,0),FALSE)</f>
        <v>13900</v>
      </c>
      <c r="P75" s="13">
        <f>+Dietary_Sample[[#This Row],[Cost Estimator]]/Dietary_Sample[[#This Row],[Diet Hrsn]]</f>
        <v>18.010000000000002</v>
      </c>
      <c r="Q75" s="10">
        <f>COUNTIFS('Dietary Detail'!$R:$R,$A75,'Dietary Detail'!$U:$U,RIGHT(Q$1,4))</f>
        <v>5</v>
      </c>
      <c r="R75" s="10">
        <f>COUNTIFS('Dietary Detail'!$R:$R,$A75,'Dietary Detail'!$U:$U,RIGHT(R$1,4))</f>
        <v>4</v>
      </c>
      <c r="S75" s="10">
        <f>+Dietary_Sample[[#This Row],[Employee count Sample Data Aide]]+Dietary_Sample[[#This Row],[Employee count Sample Data Cook]]</f>
        <v>9</v>
      </c>
      <c r="T75" s="13">
        <v>15.71</v>
      </c>
      <c r="U75" s="13">
        <v>16.760000000000002</v>
      </c>
      <c r="V75" s="13">
        <v>15.71</v>
      </c>
      <c r="W75" s="13">
        <v>16.026000000000003</v>
      </c>
      <c r="X75" s="13">
        <v>17.809999999999999</v>
      </c>
      <c r="Y75" s="13">
        <v>19.899999999999999</v>
      </c>
      <c r="Z75" s="13">
        <v>18.07</v>
      </c>
      <c r="AA75" s="13">
        <v>18.462499999999999</v>
      </c>
      <c r="AB75" s="13">
        <f>IF(AND(Dietary_Sample[[#This Row],[Aide median]]=0,Dietary_Sample[[#This Row],[Cook median]]=0),0,IF(Dietary_Sample[[#This Row],[Aide median]]=0,1,Dietary_Sample[[#This Row],[Cook median]]/Dietary_Sample[[#This Row],[Aide median]]))</f>
        <v>1.1502227880331</v>
      </c>
      <c r="AC75" s="13">
        <f>IF(AND(Dietary_Sample[[#This Row],[Aide average]]=0,Dietary_Sample[[#This Row],[Cook average]]=0),0,IF(Dietary_Sample[[#This Row],[Aide average]]=0,1,Dietary_Sample[[#This Row],[Cook average]]/Dietary_Sample[[#This Row],[Aide average]]))</f>
        <v>1.1520341944340444</v>
      </c>
      <c r="AD75" s="37">
        <f>COUNTIFS('Dietary Detail'!$R:$R,$A75,'Dietary Detail'!$T:$T,"&lt;"&amp;V75,'Dietary Detail'!$U:$U,RIGHT(AD$1,4))</f>
        <v>0</v>
      </c>
      <c r="AE75" s="37">
        <f>COUNTIFS('Dietary Detail'!$R:$R,$A75,'Dietary Detail'!$T:$T,"&lt;"&amp;W75,'Dietary Detail'!$U:$U,RIGHT(AE$1,4))</f>
        <v>3</v>
      </c>
      <c r="AF75" s="37">
        <f>COUNTIFS('Dietary Detail'!$R:$R,$A75,'Dietary Detail'!$T:$T,"&lt;"&amp;$BG$3,'Dietary Detail'!$U:$U,RIGHT(AF$1,4))</f>
        <v>5</v>
      </c>
      <c r="AG75" s="37">
        <f>COUNTIFS('Dietary Detail'!$R:$R,$A75,'Dietary Detail'!$T:$T,"&lt;"&amp;$BG$4,'Dietary Detail'!$U:$U,RIGHT(AG$1,4))</f>
        <v>3</v>
      </c>
      <c r="AH75" s="37">
        <f>COUNTIFS('Dietary Detail'!$R:$R,$A75,'Dietary Detail'!$T:$T,"&lt;"&amp;$BG$5,'Dietary Detail'!$U:$U,RIGHT(AH$1,4))</f>
        <v>4</v>
      </c>
      <c r="AI75" s="37">
        <f>COUNTIFS('Dietary Detail'!$R:$R,$A75,'Dietary Detail'!$T:$T,"&lt;"&amp;Z75,'Dietary Detail'!$U:$U,RIGHT(AI$1,4))</f>
        <v>2</v>
      </c>
      <c r="AJ75" s="37">
        <f>COUNTIFS('Dietary Detail'!$R:$R,$A75,'Dietary Detail'!$T:$T,"&lt;"&amp;AA75,'Dietary Detail'!$U:$U,RIGHT(AJ$1,4))</f>
        <v>3</v>
      </c>
      <c r="AK75" s="37">
        <f>COUNTIFS('Dietary Detail'!$R:$R,$A75,'Dietary Detail'!$T:$T,"&lt;"&amp;$BH$3,'Dietary Detail'!$U:$U,RIGHT(AK$1,4))</f>
        <v>4</v>
      </c>
      <c r="AL75" s="37">
        <f>COUNTIFS('Dietary Detail'!$R:$R,$A75,'Dietary Detail'!$T:$T,"&lt;"&amp;$BH$4,'Dietary Detail'!$U:$U,RIGHT(AL$1,4))</f>
        <v>3</v>
      </c>
      <c r="AM75" s="37">
        <f>COUNTIFS('Dietary Detail'!$R:$R,$A75,'Dietary Detail'!$T:$T,"&lt;"&amp;$BH$5,'Dietary Detail'!$U:$U,RIGHT(AM$1,4))</f>
        <v>3</v>
      </c>
      <c r="AN75" s="12">
        <f>+Dietary_Sample[[#This Row],[Aide median]]*Dietary_Sample[[#This Row],[Aide Hours]]</f>
        <v>121316.11111111112</v>
      </c>
      <c r="AO75" s="12">
        <f>+Dietary_Sample[[#This Row],[Aide average]]*Dietary_Sample[[#This Row],[Aide Hours]]</f>
        <v>123756.33333333337</v>
      </c>
      <c r="AP75" s="12">
        <f>+Dietary_Sample[[#This Row],[Cook median]]*Dietary_Sample[[#This Row],[Cook Hours]]</f>
        <v>111632.44444444444</v>
      </c>
      <c r="AQ75" s="12">
        <f>+Dietary_Sample[[#This Row],[Cook average]]*Dietary_Sample[[#This Row],[Cook Hours]]</f>
        <v>114057.2222222222</v>
      </c>
      <c r="AR75" s="12">
        <f>+Dietary_Sample[[#This Row],[Est average Aide wage cost]]+Dietary_Sample[[#This Row],[Est average Cook wage cost]]</f>
        <v>237813.55555555556</v>
      </c>
      <c r="AS75" s="12">
        <f>+Dietary_Sample[[#This Row],[Est average Aide wage cost]]+Dietary_Sample[[#This Row],[Est average Cook wage cost]]</f>
        <v>237813.55555555556</v>
      </c>
      <c r="AT75" s="14">
        <f>IF(Dietary_Sample[[#This Row],[Aide cost estimator]]=0,0,Dietary_Sample[[#This Row],[Est median Aide wage cost ]]/Dietary_Sample[[#This Row],[Aide cost estimator]])</f>
        <v>0.93053242026034921</v>
      </c>
      <c r="AU75" s="14">
        <f>IF(Dietary_Sample[[#This Row],[Aide cost estimator]]=0,0,Dietary_Sample[[#This Row],[Est average Aide wage cost]]/Dietary_Sample[[#This Row],[Aide cost estimator]])</f>
        <v>0.94924968600205983</v>
      </c>
      <c r="AV75" s="14">
        <f>IF(Dietary_Sample[[#This Row],[Cook cost estimator]]=0,0,Dietary_Sample[[#This Row],[Est median Cook wage cost]]/Dietary_Sample[[#This Row],[Cook cost estimator]])</f>
        <v>0.93053242026034921</v>
      </c>
      <c r="AW75" s="14">
        <f>IF(Dietary_Sample[[#This Row],[Cook cost estimator]]=0,0,Dietary_Sample[[#This Row],[Est average Cook wage cost]]/Dietary_Sample[[#This Row],[Cook cost estimator]])</f>
        <v>0.95074459374967879</v>
      </c>
      <c r="AX75" s="14">
        <f>IF(Dietary_Sample[[#This Row],[Aide median]]=0,0,Dietary_Sample[[#This Row],[Aide min]]/Dietary_Sample[[#This Row],[Aide median]])</f>
        <v>1</v>
      </c>
      <c r="AY75" s="14">
        <f>IF(Dietary_Sample[[#This Row],[Aide median]]=0,0,Dietary_Sample[[#This Row],[Aide max]]/Dietary_Sample[[#This Row],[Aide median]])</f>
        <v>1.066836409929981</v>
      </c>
      <c r="AZ75" s="14">
        <f>IF(Dietary_Sample[[#This Row],[Cook median]]=0,0,Dietary_Sample[[#This Row],[Cook min]]/Dietary_Sample[[#This Row],[Cook median]])</f>
        <v>0.98561151079136677</v>
      </c>
      <c r="BA75" s="14">
        <f>IF(Dietary_Sample[[#This Row],[Cook median]]=0,0,Dietary_Sample[[#This Row],[Cook max]]/Dietary_Sample[[#This Row],[Cook median]])</f>
        <v>1.1012728278915329</v>
      </c>
      <c r="BB75" s="12">
        <f>VLOOKUP(A75,Summary!$1:$1048576,2,FALSE)</f>
        <v>3</v>
      </c>
    </row>
    <row r="76" spans="1:54" x14ac:dyDescent="0.55000000000000004">
      <c r="A76" s="10">
        <v>814</v>
      </c>
      <c r="B76" s="10" t="s">
        <v>54</v>
      </c>
      <c r="C76" s="10">
        <f>VLOOKUP($A76,'SAS Data'!$1:$1048576,MATCH(C$1,'SAS Data'!$3:$3,0),FALSE)</f>
        <v>7</v>
      </c>
      <c r="D76" s="10">
        <f>VLOOKUP($A76,'SAS Data'!$1:$1048576,MATCH(D$1,'SAS Data'!$3:$3,0),FALSE)</f>
        <v>6</v>
      </c>
      <c r="E76" s="10">
        <f t="shared" si="2"/>
        <v>13</v>
      </c>
      <c r="F76" s="11">
        <f>VLOOKUP($A76,'SAS Data'!$1:$1048576,MATCH(F$1,'SAS Data'!$3:$3,0),FALSE)</f>
        <v>17.062767875025035</v>
      </c>
      <c r="G76" s="12">
        <f>+Dietary_Sample[[#This Row],[Diet Cph]]*Dietary_Sample[[#This Row],[Diet Hrsn]]</f>
        <v>425972</v>
      </c>
      <c r="H7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332465.95121951221</v>
      </c>
      <c r="I76" s="17">
        <f>+Dietary_Sample[[#This Row],[Employee count Sample Data Aide]]/Dietary_Sample[[#This Row],[Total aide &amp; Cook]]*Dietary_Sample[[#This Row],[Diet Hrsn]]</f>
        <v>20559.411764705881</v>
      </c>
      <c r="J76" s="13">
        <f>IF(Dietary_Sample[[#This Row],[Aide Hours]]=0,0,Dietary_Sample[[#This Row],[Aide cost estimator]]/Dietary_Sample[[#This Row],[Aide Hours]])</f>
        <v>16.17098558190526</v>
      </c>
      <c r="K7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93506.048780487807</v>
      </c>
      <c r="L76" s="17">
        <f>+Dietary_Sample[[#This Row],[Employee count Sample Data Cook]]/Dietary_Sample[[#This Row],[Total aide &amp; Cook]]*Dietary_Sample[[#This Row],[Diet Hrsn]]</f>
        <v>4405.588235294118</v>
      </c>
      <c r="M76" s="13">
        <f>IF(Dietary_Sample[[#This Row],[Cook Hours]]=0,0,Dietary_Sample[[#This Row],[Cook cost estimator]]/Dietary_Sample[[#This Row],[Cook Hours]])</f>
        <v>21.224418576250653</v>
      </c>
      <c r="N76" s="12">
        <f>VLOOKUP(A76,'Estimator data 120523'!$A:$F,5,FALSE)</f>
        <v>425972</v>
      </c>
      <c r="O76" s="12">
        <f>VLOOKUP($A76,'SAS Data'!$1:$1048576,MATCH(O$1,'SAS Data'!$3:$3,0),FALSE)</f>
        <v>24965</v>
      </c>
      <c r="P76" s="13">
        <f>+Dietary_Sample[[#This Row],[Cost Estimator]]/Dietary_Sample[[#This Row],[Diet Hrsn]]</f>
        <v>17.062767875025035</v>
      </c>
      <c r="Q76" s="10">
        <f>COUNTIFS('Dietary Detail'!$R:$R,$A76,'Dietary Detail'!$U:$U,RIGHT(Q$1,4))</f>
        <v>14</v>
      </c>
      <c r="R76" s="10">
        <f>COUNTIFS('Dietary Detail'!$R:$R,$A76,'Dietary Detail'!$U:$U,RIGHT(R$1,4))</f>
        <v>3</v>
      </c>
      <c r="S76" s="10">
        <f>+Dietary_Sample[[#This Row],[Employee count Sample Data Aide]]+Dietary_Sample[[#This Row],[Employee count Sample Data Cook]]</f>
        <v>17</v>
      </c>
      <c r="T76" s="13">
        <v>16</v>
      </c>
      <c r="U76" s="13">
        <v>18.45</v>
      </c>
      <c r="V76" s="13">
        <v>16</v>
      </c>
      <c r="W76" s="13">
        <v>16.542857142857141</v>
      </c>
      <c r="X76" s="13">
        <v>20</v>
      </c>
      <c r="Y76" s="13">
        <v>24.16</v>
      </c>
      <c r="Z76" s="13">
        <v>21</v>
      </c>
      <c r="AA76" s="13">
        <v>21.72</v>
      </c>
      <c r="AB76" s="13">
        <f>IF(AND(Dietary_Sample[[#This Row],[Aide median]]=0,Dietary_Sample[[#This Row],[Cook median]]=0),0,IF(Dietary_Sample[[#This Row],[Aide median]]=0,1,Dietary_Sample[[#This Row],[Cook median]]/Dietary_Sample[[#This Row],[Aide median]]))</f>
        <v>1.3125</v>
      </c>
      <c r="AC76" s="13">
        <f>IF(AND(Dietary_Sample[[#This Row],[Aide average]]=0,Dietary_Sample[[#This Row],[Cook average]]=0),0,IF(Dietary_Sample[[#This Row],[Aide average]]=0,1,Dietary_Sample[[#This Row],[Cook average]]/Dietary_Sample[[#This Row],[Aide average]]))</f>
        <v>1.3129533678756478</v>
      </c>
      <c r="AD76" s="37">
        <f>COUNTIFS('Dietary Detail'!$R:$R,$A76,'Dietary Detail'!$T:$T,"&lt;"&amp;V76,'Dietary Detail'!$U:$U,RIGHT(AD$1,4))</f>
        <v>0</v>
      </c>
      <c r="AE76" s="37">
        <f>COUNTIFS('Dietary Detail'!$R:$R,$A76,'Dietary Detail'!$T:$T,"&lt;"&amp;W76,'Dietary Detail'!$U:$U,RIGHT(AE$1,4))</f>
        <v>11</v>
      </c>
      <c r="AF76" s="37">
        <f>COUNTIFS('Dietary Detail'!$R:$R,$A76,'Dietary Detail'!$T:$T,"&lt;"&amp;$BG$3,'Dietary Detail'!$U:$U,RIGHT(AF$1,4))</f>
        <v>14</v>
      </c>
      <c r="AG76" s="37">
        <f>COUNTIFS('Dietary Detail'!$R:$R,$A76,'Dietary Detail'!$T:$T,"&lt;"&amp;$BG$4,'Dietary Detail'!$U:$U,RIGHT(AG$1,4))</f>
        <v>10</v>
      </c>
      <c r="AH76" s="37">
        <f>COUNTIFS('Dietary Detail'!$R:$R,$A76,'Dietary Detail'!$T:$T,"&lt;"&amp;$BG$5,'Dietary Detail'!$U:$U,RIGHT(AH$1,4))</f>
        <v>11</v>
      </c>
      <c r="AI76" s="37">
        <f>COUNTIFS('Dietary Detail'!$R:$R,$A76,'Dietary Detail'!$T:$T,"&lt;"&amp;Z76,'Dietary Detail'!$U:$U,RIGHT(AI$1,4))</f>
        <v>1</v>
      </c>
      <c r="AJ76" s="37">
        <f>COUNTIFS('Dietary Detail'!$R:$R,$A76,'Dietary Detail'!$T:$T,"&lt;"&amp;AA76,'Dietary Detail'!$U:$U,RIGHT(AJ$1,4))</f>
        <v>2</v>
      </c>
      <c r="AK76" s="37">
        <f>COUNTIFS('Dietary Detail'!$R:$R,$A76,'Dietary Detail'!$T:$T,"&lt;"&amp;$BH$3,'Dietary Detail'!$U:$U,RIGHT(AK$1,4))</f>
        <v>3</v>
      </c>
      <c r="AL76" s="37">
        <f>COUNTIFS('Dietary Detail'!$R:$R,$A76,'Dietary Detail'!$T:$T,"&lt;"&amp;$BH$4,'Dietary Detail'!$U:$U,RIGHT(AL$1,4))</f>
        <v>0</v>
      </c>
      <c r="AM76" s="37">
        <f>COUNTIFS('Dietary Detail'!$R:$R,$A76,'Dietary Detail'!$T:$T,"&lt;"&amp;$BH$5,'Dietary Detail'!$U:$U,RIGHT(AM$1,4))</f>
        <v>0</v>
      </c>
      <c r="AN76" s="12">
        <f>+Dietary_Sample[[#This Row],[Aide median]]*Dietary_Sample[[#This Row],[Aide Hours]]</f>
        <v>328950.5882352941</v>
      </c>
      <c r="AO76" s="12">
        <f>+Dietary_Sample[[#This Row],[Aide average]]*Dietary_Sample[[#This Row],[Aide Hours]]</f>
        <v>340111.41176470584</v>
      </c>
      <c r="AP76" s="12">
        <f>+Dietary_Sample[[#This Row],[Cook median]]*Dietary_Sample[[#This Row],[Cook Hours]]</f>
        <v>92517.352941176476</v>
      </c>
      <c r="AQ76" s="12">
        <f>+Dietary_Sample[[#This Row],[Cook average]]*Dietary_Sample[[#This Row],[Cook Hours]]</f>
        <v>95689.376470588235</v>
      </c>
      <c r="AR76" s="12">
        <f>+Dietary_Sample[[#This Row],[Est average Aide wage cost]]+Dietary_Sample[[#This Row],[Est average Cook wage cost]]</f>
        <v>435800.78823529405</v>
      </c>
      <c r="AS76" s="12">
        <f>+Dietary_Sample[[#This Row],[Est average Aide wage cost]]+Dietary_Sample[[#This Row],[Est average Cook wage cost]]</f>
        <v>435800.78823529405</v>
      </c>
      <c r="AT76" s="14">
        <f>IF(Dietary_Sample[[#This Row],[Aide cost estimator]]=0,0,Dietary_Sample[[#This Row],[Est median Aide wage cost ]]/Dietary_Sample[[#This Row],[Aide cost estimator]])</f>
        <v>0.98942639698494395</v>
      </c>
      <c r="AU76" s="14">
        <f>IF(Dietary_Sample[[#This Row],[Aide cost estimator]]=0,0,Dietary_Sample[[#This Row],[Est average Aide wage cost]]/Dietary_Sample[[#This Row],[Aide cost estimator]])</f>
        <v>1.0229962211683616</v>
      </c>
      <c r="AV76" s="14">
        <f>IF(Dietary_Sample[[#This Row],[Cook cost estimator]]=0,0,Dietary_Sample[[#This Row],[Est median Cook wage cost]]/Dietary_Sample[[#This Row],[Cook cost estimator]])</f>
        <v>0.98942639698494406</v>
      </c>
      <c r="AW76" s="14">
        <f>IF(Dietary_Sample[[#This Row],[Cook cost estimator]]=0,0,Dietary_Sample[[#This Row],[Est average Cook wage cost]]/Dietary_Sample[[#This Row],[Cook cost estimator]])</f>
        <v>1.0233495877387135</v>
      </c>
      <c r="AX76" s="14">
        <f>IF(Dietary_Sample[[#This Row],[Aide median]]=0,0,Dietary_Sample[[#This Row],[Aide min]]/Dietary_Sample[[#This Row],[Aide median]])</f>
        <v>1</v>
      </c>
      <c r="AY76" s="14">
        <f>IF(Dietary_Sample[[#This Row],[Aide median]]=0,0,Dietary_Sample[[#This Row],[Aide max]]/Dietary_Sample[[#This Row],[Aide median]])</f>
        <v>1.153125</v>
      </c>
      <c r="AZ76" s="14">
        <f>IF(Dietary_Sample[[#This Row],[Cook median]]=0,0,Dietary_Sample[[#This Row],[Cook min]]/Dietary_Sample[[#This Row],[Cook median]])</f>
        <v>0.95238095238095233</v>
      </c>
      <c r="BA76" s="14">
        <f>IF(Dietary_Sample[[#This Row],[Cook median]]=0,0,Dietary_Sample[[#This Row],[Cook max]]/Dietary_Sample[[#This Row],[Cook median]])</f>
        <v>1.1504761904761904</v>
      </c>
      <c r="BB76" s="12">
        <f>VLOOKUP(A76,Summary!$1:$1048576,2,FALSE)</f>
        <v>3</v>
      </c>
    </row>
    <row r="77" spans="1:54" x14ac:dyDescent="0.55000000000000004">
      <c r="A77" s="10">
        <v>824</v>
      </c>
      <c r="B77" s="10" t="s">
        <v>54</v>
      </c>
      <c r="C77" s="10">
        <f>VLOOKUP($A77,'SAS Data'!$1:$1048576,MATCH(C$1,'SAS Data'!$3:$3,0),FALSE)</f>
        <v>12</v>
      </c>
      <c r="D77" s="10">
        <f>VLOOKUP($A77,'SAS Data'!$1:$1048576,MATCH(D$1,'SAS Data'!$3:$3,0),FALSE)</f>
        <v>14</v>
      </c>
      <c r="E77" s="10">
        <f t="shared" si="2"/>
        <v>26</v>
      </c>
      <c r="F77" s="11">
        <f>VLOOKUP($A77,'SAS Data'!$1:$1048576,MATCH(F$1,'SAS Data'!$3:$3,0),FALSE)</f>
        <v>17.601180637544275</v>
      </c>
      <c r="G77" s="12">
        <f>+Dietary_Sample[[#This Row],[Diet Cph]]*Dietary_Sample[[#This Row],[Diet Hrsn]]</f>
        <v>372705</v>
      </c>
      <c r="H7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210144.47140381281</v>
      </c>
      <c r="I77" s="17">
        <f>+Dietary_Sample[[#This Row],[Employee count Sample Data Aide]]/Dietary_Sample[[#This Row],[Total aide &amp; Cook]]*Dietary_Sample[[#This Row],[Diet Hrsn]]</f>
        <v>14116.666666666666</v>
      </c>
      <c r="J77" s="13">
        <f>IF(Dietary_Sample[[#This Row],[Aide Hours]]=0,0,Dietary_Sample[[#This Row],[Aide cost estimator]]/Dietary_Sample[[#This Row],[Aide Hours]])</f>
        <v>14.886267159656162</v>
      </c>
      <c r="K7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162560.52859618713</v>
      </c>
      <c r="L77" s="17">
        <f>+Dietary_Sample[[#This Row],[Employee count Sample Data Cook]]/Dietary_Sample[[#This Row],[Total aide &amp; Cook]]*Dietary_Sample[[#This Row],[Diet Hrsn]]</f>
        <v>7058.333333333333</v>
      </c>
      <c r="M77" s="13">
        <f>IF(Dietary_Sample[[#This Row],[Cook Hours]]=0,0,Dietary_Sample[[#This Row],[Cook cost estimator]]/Dietary_Sample[[#This Row],[Cook Hours]])</f>
        <v>23.031007593320492</v>
      </c>
      <c r="N77" s="12">
        <f>VLOOKUP(A77,'Estimator data 120523'!$A:$F,5,FALSE)</f>
        <v>372705</v>
      </c>
      <c r="O77" s="12">
        <f>VLOOKUP($A77,'SAS Data'!$1:$1048576,MATCH(O$1,'SAS Data'!$3:$3,0),FALSE)</f>
        <v>21175</v>
      </c>
      <c r="P77" s="13">
        <f>+Dietary_Sample[[#This Row],[Cost Estimator]]/Dietary_Sample[[#This Row],[Diet Hrsn]]</f>
        <v>17.601180637544275</v>
      </c>
      <c r="Q77" s="10">
        <f>COUNTIFS('Dietary Detail'!$R:$R,$A77,'Dietary Detail'!$U:$U,RIGHT(Q$1,4))</f>
        <v>14</v>
      </c>
      <c r="R77" s="10">
        <f>COUNTIFS('Dietary Detail'!$R:$R,$A77,'Dietary Detail'!$U:$U,RIGHT(R$1,4))</f>
        <v>7</v>
      </c>
      <c r="S77" s="10">
        <f>+Dietary_Sample[[#This Row],[Employee count Sample Data Aide]]+Dietary_Sample[[#This Row],[Employee count Sample Data Cook]]</f>
        <v>21</v>
      </c>
      <c r="T77" s="13">
        <v>13.47</v>
      </c>
      <c r="U77" s="13">
        <v>19.63</v>
      </c>
      <c r="V77" s="13">
        <v>14.64</v>
      </c>
      <c r="W77" s="13">
        <v>14.818571428571431</v>
      </c>
      <c r="X77" s="13">
        <v>17.59</v>
      </c>
      <c r="Y77" s="13">
        <v>23.37</v>
      </c>
      <c r="Z77" s="13">
        <v>22.65</v>
      </c>
      <c r="AA77" s="13">
        <v>21.86571428571429</v>
      </c>
      <c r="AB77" s="13">
        <f>IF(AND(Dietary_Sample[[#This Row],[Aide median]]=0,Dietary_Sample[[#This Row],[Cook median]]=0),0,IF(Dietary_Sample[[#This Row],[Aide median]]=0,1,Dietary_Sample[[#This Row],[Cook median]]/Dietary_Sample[[#This Row],[Aide median]]))</f>
        <v>1.5471311475409835</v>
      </c>
      <c r="AC77" s="13">
        <f>IF(AND(Dietary_Sample[[#This Row],[Aide average]]=0,Dietary_Sample[[#This Row],[Cook average]]=0),0,IF(Dietary_Sample[[#This Row],[Aide average]]=0,1,Dietary_Sample[[#This Row],[Cook average]]/Dietary_Sample[[#This Row],[Aide average]]))</f>
        <v>1.4755615540345126</v>
      </c>
      <c r="AD77" s="37">
        <f>COUNTIFS('Dietary Detail'!$R:$R,$A77,'Dietary Detail'!$T:$T,"&lt;"&amp;V77,'Dietary Detail'!$U:$U,RIGHT(AD$1,4))</f>
        <v>6</v>
      </c>
      <c r="AE77" s="37">
        <f>COUNTIFS('Dietary Detail'!$R:$R,$A77,'Dietary Detail'!$T:$T,"&lt;"&amp;W77,'Dietary Detail'!$U:$U,RIGHT(AE$1,4))</f>
        <v>8</v>
      </c>
      <c r="AF77" s="37">
        <f>COUNTIFS('Dietary Detail'!$R:$R,$A77,'Dietary Detail'!$T:$T,"&lt;"&amp;$BG$3,'Dietary Detail'!$U:$U,RIGHT(AF$1,4))</f>
        <v>14</v>
      </c>
      <c r="AG77" s="37">
        <f>COUNTIFS('Dietary Detail'!$R:$R,$A77,'Dietary Detail'!$T:$T,"&lt;"&amp;$BG$4,'Dietary Detail'!$U:$U,RIGHT(AG$1,4))</f>
        <v>13</v>
      </c>
      <c r="AH77" s="37">
        <f>COUNTIFS('Dietary Detail'!$R:$R,$A77,'Dietary Detail'!$T:$T,"&lt;"&amp;$BG$5,'Dietary Detail'!$U:$U,RIGHT(AH$1,4))</f>
        <v>13</v>
      </c>
      <c r="AI77" s="37">
        <f>COUNTIFS('Dietary Detail'!$R:$R,$A77,'Dietary Detail'!$T:$T,"&lt;"&amp;Z77,'Dietary Detail'!$U:$U,RIGHT(AI$1,4))</f>
        <v>3</v>
      </c>
      <c r="AJ77" s="37">
        <f>COUNTIFS('Dietary Detail'!$R:$R,$A77,'Dietary Detail'!$T:$T,"&lt;"&amp;AA77,'Dietary Detail'!$U:$U,RIGHT(AJ$1,4))</f>
        <v>3</v>
      </c>
      <c r="AK77" s="37">
        <f>COUNTIFS('Dietary Detail'!$R:$R,$A77,'Dietary Detail'!$T:$T,"&lt;"&amp;$BH$3,'Dietary Detail'!$U:$U,RIGHT(AK$1,4))</f>
        <v>7</v>
      </c>
      <c r="AL77" s="37">
        <f>COUNTIFS('Dietary Detail'!$R:$R,$A77,'Dietary Detail'!$T:$T,"&lt;"&amp;$BH$4,'Dietary Detail'!$U:$U,RIGHT(AL$1,4))</f>
        <v>1</v>
      </c>
      <c r="AM77" s="37">
        <f>COUNTIFS('Dietary Detail'!$R:$R,$A77,'Dietary Detail'!$T:$T,"&lt;"&amp;$BH$5,'Dietary Detail'!$U:$U,RIGHT(AM$1,4))</f>
        <v>1</v>
      </c>
      <c r="AN77" s="12">
        <f>+Dietary_Sample[[#This Row],[Aide median]]*Dietary_Sample[[#This Row],[Aide Hours]]</f>
        <v>206668</v>
      </c>
      <c r="AO77" s="12">
        <f>+Dietary_Sample[[#This Row],[Aide average]]*Dietary_Sample[[#This Row],[Aide Hours]]</f>
        <v>209188.83333333337</v>
      </c>
      <c r="AP77" s="12">
        <f>+Dietary_Sample[[#This Row],[Cook median]]*Dietary_Sample[[#This Row],[Cook Hours]]</f>
        <v>159871.24999999997</v>
      </c>
      <c r="AQ77" s="12">
        <f>+Dietary_Sample[[#This Row],[Cook average]]*Dietary_Sample[[#This Row],[Cook Hours]]</f>
        <v>154335.50000000003</v>
      </c>
      <c r="AR77" s="12">
        <f>+Dietary_Sample[[#This Row],[Est average Aide wage cost]]+Dietary_Sample[[#This Row],[Est average Cook wage cost]]</f>
        <v>363524.33333333337</v>
      </c>
      <c r="AS77" s="12">
        <f>+Dietary_Sample[[#This Row],[Est average Aide wage cost]]+Dietary_Sample[[#This Row],[Est average Cook wage cost]]</f>
        <v>363524.33333333337</v>
      </c>
      <c r="AT77" s="14">
        <f>IF(Dietary_Sample[[#This Row],[Aide cost estimator]]=0,0,Dietary_Sample[[#This Row],[Est median Aide wage cost ]]/Dietary_Sample[[#This Row],[Aide cost estimator]])</f>
        <v>0.98345675534269739</v>
      </c>
      <c r="AU77" s="14">
        <f>IF(Dietary_Sample[[#This Row],[Aide cost estimator]]=0,0,Dietary_Sample[[#This Row],[Est average Aide wage cost]]/Dietary_Sample[[#This Row],[Aide cost estimator]])</f>
        <v>0.99545247103530465</v>
      </c>
      <c r="AV77" s="14">
        <f>IF(Dietary_Sample[[#This Row],[Cook cost estimator]]=0,0,Dietary_Sample[[#This Row],[Est median Cook wage cost]]/Dietary_Sample[[#This Row],[Cook cost estimator]])</f>
        <v>0.98345675534269739</v>
      </c>
      <c r="AW77" s="14">
        <f>IF(Dietary_Sample[[#This Row],[Cook cost estimator]]=0,0,Dietary_Sample[[#This Row],[Est average Cook wage cost]]/Dietary_Sample[[#This Row],[Cook cost estimator]])</f>
        <v>0.94940328585779454</v>
      </c>
      <c r="AX77" s="14">
        <f>IF(Dietary_Sample[[#This Row],[Aide median]]=0,0,Dietary_Sample[[#This Row],[Aide min]]/Dietary_Sample[[#This Row],[Aide median]])</f>
        <v>0.92008196721311475</v>
      </c>
      <c r="AY77" s="14">
        <f>IF(Dietary_Sample[[#This Row],[Aide median]]=0,0,Dietary_Sample[[#This Row],[Aide max]]/Dietary_Sample[[#This Row],[Aide median]])</f>
        <v>1.340846994535519</v>
      </c>
      <c r="AZ77" s="14">
        <f>IF(Dietary_Sample[[#This Row],[Cook median]]=0,0,Dietary_Sample[[#This Row],[Cook min]]/Dietary_Sample[[#This Row],[Cook median]])</f>
        <v>0.77660044150110374</v>
      </c>
      <c r="BA77" s="14">
        <f>IF(Dietary_Sample[[#This Row],[Cook median]]=0,0,Dietary_Sample[[#This Row],[Cook max]]/Dietary_Sample[[#This Row],[Cook median]])</f>
        <v>1.0317880794701988</v>
      </c>
      <c r="BB77" s="12">
        <f>VLOOKUP(A77,Summary!$1:$1048576,2,FALSE)</f>
        <v>1</v>
      </c>
    </row>
    <row r="78" spans="1:54" x14ac:dyDescent="0.55000000000000004">
      <c r="A78" s="10">
        <v>826</v>
      </c>
      <c r="B78" s="10" t="s">
        <v>54</v>
      </c>
      <c r="C78" s="10">
        <f>VLOOKUP($A78,'SAS Data'!$1:$1048576,MATCH(C$1,'SAS Data'!$3:$3,0),FALSE)</f>
        <v>6</v>
      </c>
      <c r="D78" s="10">
        <f>VLOOKUP($A78,'SAS Data'!$1:$1048576,MATCH(D$1,'SAS Data'!$3:$3,0),FALSE)</f>
        <v>4</v>
      </c>
      <c r="E78" s="10">
        <f t="shared" si="2"/>
        <v>10</v>
      </c>
      <c r="F78" s="11">
        <f>VLOOKUP($A78,'SAS Data'!$1:$1048576,MATCH(F$1,'SAS Data'!$3:$3,0),FALSE)</f>
        <v>16.541860465116279</v>
      </c>
      <c r="G78" s="12">
        <f>+Dietary_Sample[[#This Row],[Diet Cph]]*Dietary_Sample[[#This Row],[Diet Hrsn]]</f>
        <v>248955</v>
      </c>
      <c r="H7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110369.82553421694</v>
      </c>
      <c r="I78" s="17">
        <f>+Dietary_Sample[[#This Row],[Employee count Sample Data Aide]]/Dietary_Sample[[#This Row],[Total aide &amp; Cook]]*Dietary_Sample[[#This Row],[Diet Hrsn]]</f>
        <v>7525</v>
      </c>
      <c r="J78" s="13">
        <f>IF(Dietary_Sample[[#This Row],[Aide Hours]]=0,0,Dietary_Sample[[#This Row],[Aide cost estimator]]/Dietary_Sample[[#This Row],[Aide Hours]])</f>
        <v>14.667086449729826</v>
      </c>
      <c r="K7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138585.17446578306</v>
      </c>
      <c r="L78" s="17">
        <f>+Dietary_Sample[[#This Row],[Employee count Sample Data Cook]]/Dietary_Sample[[#This Row],[Total aide &amp; Cook]]*Dietary_Sample[[#This Row],[Diet Hrsn]]</f>
        <v>7525</v>
      </c>
      <c r="M78" s="13">
        <f>IF(Dietary_Sample[[#This Row],[Cook Hours]]=0,0,Dietary_Sample[[#This Row],[Cook cost estimator]]/Dietary_Sample[[#This Row],[Cook Hours]])</f>
        <v>18.416634480502733</v>
      </c>
      <c r="N78" s="12">
        <f>VLOOKUP(A78,'Estimator data 120523'!$A:$F,5,FALSE)</f>
        <v>248955</v>
      </c>
      <c r="O78" s="12">
        <f>VLOOKUP($A78,'SAS Data'!$1:$1048576,MATCH(O$1,'SAS Data'!$3:$3,0),FALSE)</f>
        <v>15050</v>
      </c>
      <c r="P78" s="13">
        <f>+Dietary_Sample[[#This Row],[Cost Estimator]]/Dietary_Sample[[#This Row],[Diet Hrsn]]</f>
        <v>16.541860465116279</v>
      </c>
      <c r="Q78" s="10">
        <f>COUNTIFS('Dietary Detail'!$R:$R,$A78,'Dietary Detail'!$U:$U,RIGHT(Q$1,4))</f>
        <v>3</v>
      </c>
      <c r="R78" s="10">
        <f>COUNTIFS('Dietary Detail'!$R:$R,$A78,'Dietary Detail'!$U:$U,RIGHT(R$1,4))</f>
        <v>3</v>
      </c>
      <c r="S78" s="10">
        <f>+Dietary_Sample[[#This Row],[Employee count Sample Data Aide]]+Dietary_Sample[[#This Row],[Employee count Sample Data Cook]]</f>
        <v>6</v>
      </c>
      <c r="T78" s="13">
        <v>14</v>
      </c>
      <c r="U78" s="13">
        <v>16.690000000000001</v>
      </c>
      <c r="V78" s="13">
        <v>16.39</v>
      </c>
      <c r="W78" s="13">
        <v>15.693333333333333</v>
      </c>
      <c r="X78" s="13">
        <v>18.489999999999998</v>
      </c>
      <c r="Y78" s="13">
        <v>21.48</v>
      </c>
      <c r="Z78" s="13">
        <v>20.58</v>
      </c>
      <c r="AA78" s="13">
        <v>20.183333333333334</v>
      </c>
      <c r="AB78" s="13">
        <f>IF(AND(Dietary_Sample[[#This Row],[Aide median]]=0,Dietary_Sample[[#This Row],[Cook median]]=0),0,IF(Dietary_Sample[[#This Row],[Aide median]]=0,1,Dietary_Sample[[#This Row],[Cook median]]/Dietary_Sample[[#This Row],[Aide median]]))</f>
        <v>1.2556436851738864</v>
      </c>
      <c r="AC78" s="13">
        <f>IF(AND(Dietary_Sample[[#This Row],[Aide average]]=0,Dietary_Sample[[#This Row],[Cook average]]=0),0,IF(Dietary_Sample[[#This Row],[Aide average]]=0,1,Dietary_Sample[[#This Row],[Cook average]]/Dietary_Sample[[#This Row],[Aide average]]))</f>
        <v>1.2861087510620222</v>
      </c>
      <c r="AD78" s="37">
        <f>COUNTIFS('Dietary Detail'!$R:$R,$A78,'Dietary Detail'!$T:$T,"&lt;"&amp;V78,'Dietary Detail'!$U:$U,RIGHT(AD$1,4))</f>
        <v>1</v>
      </c>
      <c r="AE78" s="37">
        <f>COUNTIFS('Dietary Detail'!$R:$R,$A78,'Dietary Detail'!$T:$T,"&lt;"&amp;W78,'Dietary Detail'!$U:$U,RIGHT(AE$1,4))</f>
        <v>1</v>
      </c>
      <c r="AF78" s="37">
        <f>COUNTIFS('Dietary Detail'!$R:$R,$A78,'Dietary Detail'!$T:$T,"&lt;"&amp;$BG$3,'Dietary Detail'!$U:$U,RIGHT(AF$1,4))</f>
        <v>3</v>
      </c>
      <c r="AG78" s="37">
        <f>COUNTIFS('Dietary Detail'!$R:$R,$A78,'Dietary Detail'!$T:$T,"&lt;"&amp;$BG$4,'Dietary Detail'!$U:$U,RIGHT(AG$1,4))</f>
        <v>1</v>
      </c>
      <c r="AH78" s="37">
        <f>COUNTIFS('Dietary Detail'!$R:$R,$A78,'Dietary Detail'!$T:$T,"&lt;"&amp;$BG$5,'Dietary Detail'!$U:$U,RIGHT(AH$1,4))</f>
        <v>2</v>
      </c>
      <c r="AI78" s="37">
        <f>COUNTIFS('Dietary Detail'!$R:$R,$A78,'Dietary Detail'!$T:$T,"&lt;"&amp;Z78,'Dietary Detail'!$U:$U,RIGHT(AI$1,4))</f>
        <v>1</v>
      </c>
      <c r="AJ78" s="37">
        <f>COUNTIFS('Dietary Detail'!$R:$R,$A78,'Dietary Detail'!$T:$T,"&lt;"&amp;AA78,'Dietary Detail'!$U:$U,RIGHT(AJ$1,4))</f>
        <v>1</v>
      </c>
      <c r="AK78" s="37">
        <f>COUNTIFS('Dietary Detail'!$R:$R,$A78,'Dietary Detail'!$T:$T,"&lt;"&amp;$BH$3,'Dietary Detail'!$U:$U,RIGHT(AK$1,4))</f>
        <v>3</v>
      </c>
      <c r="AL78" s="37">
        <f>COUNTIFS('Dietary Detail'!$R:$R,$A78,'Dietary Detail'!$T:$T,"&lt;"&amp;$BH$4,'Dietary Detail'!$U:$U,RIGHT(AL$1,4))</f>
        <v>1</v>
      </c>
      <c r="AM78" s="37">
        <f>COUNTIFS('Dietary Detail'!$R:$R,$A78,'Dietary Detail'!$T:$T,"&lt;"&amp;$BH$5,'Dietary Detail'!$U:$U,RIGHT(AM$1,4))</f>
        <v>1</v>
      </c>
      <c r="AN78" s="12">
        <f>+Dietary_Sample[[#This Row],[Aide median]]*Dietary_Sample[[#This Row],[Aide Hours]]</f>
        <v>123334.75</v>
      </c>
      <c r="AO78" s="12">
        <f>+Dietary_Sample[[#This Row],[Aide average]]*Dietary_Sample[[#This Row],[Aide Hours]]</f>
        <v>118092.33333333333</v>
      </c>
      <c r="AP78" s="12">
        <f>+Dietary_Sample[[#This Row],[Cook median]]*Dietary_Sample[[#This Row],[Cook Hours]]</f>
        <v>154864.5</v>
      </c>
      <c r="AQ78" s="12">
        <f>+Dietary_Sample[[#This Row],[Cook average]]*Dietary_Sample[[#This Row],[Cook Hours]]</f>
        <v>151879.58333333334</v>
      </c>
      <c r="AR78" s="12">
        <f>+Dietary_Sample[[#This Row],[Est average Aide wage cost]]+Dietary_Sample[[#This Row],[Est average Cook wage cost]]</f>
        <v>269971.91666666669</v>
      </c>
      <c r="AS78" s="12">
        <f>+Dietary_Sample[[#This Row],[Est average Aide wage cost]]+Dietary_Sample[[#This Row],[Est average Cook wage cost]]</f>
        <v>269971.91666666669</v>
      </c>
      <c r="AT78" s="14">
        <f>IF(Dietary_Sample[[#This Row],[Aide cost estimator]]=0,0,Dietary_Sample[[#This Row],[Est median Aide wage cost ]]/Dietary_Sample[[#This Row],[Aide cost estimator]])</f>
        <v>1.1174680163081681</v>
      </c>
      <c r="AU78" s="14">
        <f>IF(Dietary_Sample[[#This Row],[Aide cost estimator]]=0,0,Dietary_Sample[[#This Row],[Est average Aide wage cost]]/Dietary_Sample[[#This Row],[Aide cost estimator]])</f>
        <v>1.0699693757939506</v>
      </c>
      <c r="AV78" s="14">
        <f>IF(Dietary_Sample[[#This Row],[Cook cost estimator]]=0,0,Dietary_Sample[[#This Row],[Est median Cook wage cost]]/Dietary_Sample[[#This Row],[Cook cost estimator]])</f>
        <v>1.1174680163081683</v>
      </c>
      <c r="AW78" s="14">
        <f>IF(Dietary_Sample[[#This Row],[Cook cost estimator]]=0,0,Dietary_Sample[[#This Row],[Est average Cook wage cost]]/Dietary_Sample[[#This Row],[Cook cost estimator]])</f>
        <v>1.0959295171276253</v>
      </c>
      <c r="AX78" s="14">
        <f>IF(Dietary_Sample[[#This Row],[Aide median]]=0,0,Dietary_Sample[[#This Row],[Aide min]]/Dietary_Sample[[#This Row],[Aide median]])</f>
        <v>0.85417937766931051</v>
      </c>
      <c r="AY78" s="14">
        <f>IF(Dietary_Sample[[#This Row],[Aide median]]=0,0,Dietary_Sample[[#This Row],[Aide max]]/Dietary_Sample[[#This Row],[Aide median]])</f>
        <v>1.0183038438071996</v>
      </c>
      <c r="AZ78" s="14">
        <f>IF(Dietary_Sample[[#This Row],[Cook median]]=0,0,Dietary_Sample[[#This Row],[Cook min]]/Dietary_Sample[[#This Row],[Cook median]])</f>
        <v>0.89844509232264336</v>
      </c>
      <c r="BA78" s="14">
        <f>IF(Dietary_Sample[[#This Row],[Cook median]]=0,0,Dietary_Sample[[#This Row],[Cook max]]/Dietary_Sample[[#This Row],[Cook median]])</f>
        <v>1.0437317784256561</v>
      </c>
      <c r="BB78" s="12">
        <f>VLOOKUP(A78,Summary!$1:$1048576,2,FALSE)</f>
        <v>3</v>
      </c>
    </row>
    <row r="79" spans="1:54" x14ac:dyDescent="0.55000000000000004">
      <c r="A79" s="10">
        <v>828</v>
      </c>
      <c r="B79" s="10" t="s">
        <v>54</v>
      </c>
      <c r="C79" s="10">
        <f>VLOOKUP($A79,'SAS Data'!$1:$1048576,MATCH(C$1,'SAS Data'!$3:$3,0),FALSE)</f>
        <v>0</v>
      </c>
      <c r="D79" s="10">
        <f>VLOOKUP($A79,'SAS Data'!$1:$1048576,MATCH(D$1,'SAS Data'!$3:$3,0),FALSE)</f>
        <v>0</v>
      </c>
      <c r="E79" s="10">
        <f t="shared" si="2"/>
        <v>0</v>
      </c>
      <c r="F79" s="11">
        <f>VLOOKUP($A79,'SAS Data'!$1:$1048576,MATCH(F$1,'SAS Data'!$3:$3,0),FALSE)</f>
        <v>0</v>
      </c>
      <c r="G79" s="12">
        <f>+Dietary_Sample[[#This Row],[Diet Cph]]*Dietary_Sample[[#This Row],[Diet Hrsn]]</f>
        <v>0</v>
      </c>
      <c r="H7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0</v>
      </c>
      <c r="I79" s="17">
        <f>+Dietary_Sample[[#This Row],[Employee count Sample Data Aide]]/Dietary_Sample[[#This Row],[Total aide &amp; Cook]]*Dietary_Sample[[#This Row],[Diet Hrsn]]</f>
        <v>0</v>
      </c>
      <c r="J79" s="13">
        <f>IF(Dietary_Sample[[#This Row],[Aide Hours]]=0,0,Dietary_Sample[[#This Row],[Aide cost estimator]]/Dietary_Sample[[#This Row],[Aide Hours]])</f>
        <v>0</v>
      </c>
      <c r="K7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210983.95375545687</v>
      </c>
      <c r="L79" s="17">
        <f>+Dietary_Sample[[#This Row],[Employee count Sample Data Cook]]/Dietary_Sample[[#This Row],[Total aide &amp; Cook]]*Dietary_Sample[[#This Row],[Diet Hrsn]]</f>
        <v>10797</v>
      </c>
      <c r="M79" s="13">
        <f>IF(Dietary_Sample[[#This Row],[Cook Hours]]=0,0,Dietary_Sample[[#This Row],[Cook cost estimator]]/Dietary_Sample[[#This Row],[Cook Hours]])</f>
        <v>19.540979323465486</v>
      </c>
      <c r="N79" s="12">
        <f>VLOOKUP(A79,'Estimator data 120523'!$A:$F,5,FALSE)</f>
        <v>210983.95375545687</v>
      </c>
      <c r="O79" s="12">
        <f>VLOOKUP($A79,'SAS Data'!$1:$1048576,MATCH(O$1,'SAS Data'!$3:$3,0),FALSE)</f>
        <v>10797</v>
      </c>
      <c r="P79" s="13">
        <f>+Dietary_Sample[[#This Row],[Cost Estimator]]/Dietary_Sample[[#This Row],[Diet Hrsn]]</f>
        <v>19.540979323465486</v>
      </c>
      <c r="Q79" s="10">
        <f>COUNTIFS('Dietary Detail'!$R:$R,$A79,'Dietary Detail'!$U:$U,RIGHT(Q$1,4))</f>
        <v>0</v>
      </c>
      <c r="R79" s="10">
        <f>COUNTIFS('Dietary Detail'!$R:$R,$A79,'Dietary Detail'!$U:$U,RIGHT(R$1,4))</f>
        <v>13</v>
      </c>
      <c r="S79" s="10">
        <f>+Dietary_Sample[[#This Row],[Employee count Sample Data Aide]]+Dietary_Sample[[#This Row],[Employee count Sample Data Cook]]</f>
        <v>13</v>
      </c>
      <c r="T79" s="13">
        <v>0</v>
      </c>
      <c r="U79" s="13">
        <v>0</v>
      </c>
      <c r="V79" s="13">
        <v>0</v>
      </c>
      <c r="W79" s="13">
        <v>0</v>
      </c>
      <c r="X79" s="13">
        <v>14.03</v>
      </c>
      <c r="Y79" s="13">
        <v>21.09</v>
      </c>
      <c r="Z79" s="13">
        <v>16.670000000000002</v>
      </c>
      <c r="AA79" s="13">
        <v>16.935384615384613</v>
      </c>
      <c r="AB79" s="13">
        <f>IF(AND(Dietary_Sample[[#This Row],[Aide median]]=0,Dietary_Sample[[#This Row],[Cook median]]=0),0,IF(Dietary_Sample[[#This Row],[Aide median]]=0,1,Dietary_Sample[[#This Row],[Cook median]]/Dietary_Sample[[#This Row],[Aide median]]))</f>
        <v>1</v>
      </c>
      <c r="AC79" s="13">
        <f>IF(AND(Dietary_Sample[[#This Row],[Aide average]]=0,Dietary_Sample[[#This Row],[Cook average]]=0),0,IF(Dietary_Sample[[#This Row],[Aide average]]=0,1,Dietary_Sample[[#This Row],[Cook average]]/Dietary_Sample[[#This Row],[Aide average]]))</f>
        <v>1</v>
      </c>
      <c r="AD79" s="37">
        <f>COUNTIFS('Dietary Detail'!$R:$R,$A79,'Dietary Detail'!$T:$T,"&lt;"&amp;V79,'Dietary Detail'!$U:$U,RIGHT(AD$1,4))</f>
        <v>0</v>
      </c>
      <c r="AE79" s="37">
        <f>COUNTIFS('Dietary Detail'!$R:$R,$A79,'Dietary Detail'!$T:$T,"&lt;"&amp;W79,'Dietary Detail'!$U:$U,RIGHT(AE$1,4))</f>
        <v>0</v>
      </c>
      <c r="AF79" s="37">
        <f>COUNTIFS('Dietary Detail'!$R:$R,$A79,'Dietary Detail'!$T:$T,"&lt;"&amp;$BG$3,'Dietary Detail'!$U:$U,RIGHT(AF$1,4))</f>
        <v>0</v>
      </c>
      <c r="AG79" s="37">
        <f>COUNTIFS('Dietary Detail'!$R:$R,$A79,'Dietary Detail'!$T:$T,"&lt;"&amp;$BG$4,'Dietary Detail'!$U:$U,RIGHT(AG$1,4))</f>
        <v>0</v>
      </c>
      <c r="AH79" s="37">
        <f>COUNTIFS('Dietary Detail'!$R:$R,$A79,'Dietary Detail'!$T:$T,"&lt;"&amp;$BG$5,'Dietary Detail'!$U:$U,RIGHT(AH$1,4))</f>
        <v>0</v>
      </c>
      <c r="AI79" s="37">
        <f>COUNTIFS('Dietary Detail'!$R:$R,$A79,'Dietary Detail'!$T:$T,"&lt;"&amp;Z79,'Dietary Detail'!$U:$U,RIGHT(AI$1,4))</f>
        <v>6</v>
      </c>
      <c r="AJ79" s="37">
        <f>COUNTIFS('Dietary Detail'!$R:$R,$A79,'Dietary Detail'!$T:$T,"&lt;"&amp;AA79,'Dietary Detail'!$U:$U,RIGHT(AJ$1,4))</f>
        <v>8</v>
      </c>
      <c r="AK79" s="37">
        <f>COUNTIFS('Dietary Detail'!$R:$R,$A79,'Dietary Detail'!$T:$T,"&lt;"&amp;$BH$3,'Dietary Detail'!$U:$U,RIGHT(AK$1,4))</f>
        <v>13</v>
      </c>
      <c r="AL79" s="37">
        <f>COUNTIFS('Dietary Detail'!$R:$R,$A79,'Dietary Detail'!$T:$T,"&lt;"&amp;$BH$4,'Dietary Detail'!$U:$U,RIGHT(AL$1,4))</f>
        <v>12</v>
      </c>
      <c r="AM79" s="37">
        <f>COUNTIFS('Dietary Detail'!$R:$R,$A79,'Dietary Detail'!$T:$T,"&lt;"&amp;$BH$5,'Dietary Detail'!$U:$U,RIGHT(AM$1,4))</f>
        <v>12</v>
      </c>
      <c r="AN79" s="12">
        <f>+Dietary_Sample[[#This Row],[Aide median]]*Dietary_Sample[[#This Row],[Aide Hours]]</f>
        <v>0</v>
      </c>
      <c r="AO79" s="12">
        <f>+Dietary_Sample[[#This Row],[Aide average]]*Dietary_Sample[[#This Row],[Aide Hours]]</f>
        <v>0</v>
      </c>
      <c r="AP79" s="12">
        <f>+Dietary_Sample[[#This Row],[Cook median]]*Dietary_Sample[[#This Row],[Cook Hours]]</f>
        <v>179985.99000000002</v>
      </c>
      <c r="AQ79" s="12">
        <f>+Dietary_Sample[[#This Row],[Cook average]]*Dietary_Sample[[#This Row],[Cook Hours]]</f>
        <v>182851.34769230767</v>
      </c>
      <c r="AR79" s="12">
        <f>+Dietary_Sample[[#This Row],[Est average Aide wage cost]]+Dietary_Sample[[#This Row],[Est average Cook wage cost]]</f>
        <v>182851.34769230767</v>
      </c>
      <c r="AS79" s="12">
        <f>+Dietary_Sample[[#This Row],[Est average Aide wage cost]]+Dietary_Sample[[#This Row],[Est average Cook wage cost]]</f>
        <v>182851.34769230767</v>
      </c>
      <c r="AT79" s="14">
        <f>IF(Dietary_Sample[[#This Row],[Aide cost estimator]]=0,0,Dietary_Sample[[#This Row],[Est median Aide wage cost ]]/Dietary_Sample[[#This Row],[Aide cost estimator]])</f>
        <v>0</v>
      </c>
      <c r="AU79" s="14">
        <f>IF(Dietary_Sample[[#This Row],[Aide cost estimator]]=0,0,Dietary_Sample[[#This Row],[Est average Aide wage cost]]/Dietary_Sample[[#This Row],[Aide cost estimator]])</f>
        <v>0</v>
      </c>
      <c r="AV79" s="14">
        <f>IF(Dietary_Sample[[#This Row],[Cook cost estimator]]=0,0,Dietary_Sample[[#This Row],[Est median Cook wage cost]]/Dietary_Sample[[#This Row],[Cook cost estimator]])</f>
        <v>0.85307904604259455</v>
      </c>
      <c r="AW79" s="14">
        <f>IF(Dietary_Sample[[#This Row],[Cook cost estimator]]=0,0,Dietary_Sample[[#This Row],[Est average Cook wage cost]]/Dietary_Sample[[#This Row],[Cook cost estimator]])</f>
        <v>0.8666599731287784</v>
      </c>
      <c r="AX79" s="14">
        <f>IF(Dietary_Sample[[#This Row],[Aide median]]=0,0,Dietary_Sample[[#This Row],[Aide min]]/Dietary_Sample[[#This Row],[Aide median]])</f>
        <v>0</v>
      </c>
      <c r="AY79" s="14">
        <f>IF(Dietary_Sample[[#This Row],[Aide median]]=0,0,Dietary_Sample[[#This Row],[Aide max]]/Dietary_Sample[[#This Row],[Aide median]])</f>
        <v>0</v>
      </c>
      <c r="AZ79" s="14">
        <f>IF(Dietary_Sample[[#This Row],[Cook median]]=0,0,Dietary_Sample[[#This Row],[Cook min]]/Dietary_Sample[[#This Row],[Cook median]])</f>
        <v>0.84163167366526681</v>
      </c>
      <c r="BA79" s="14">
        <f>IF(Dietary_Sample[[#This Row],[Cook median]]=0,0,Dietary_Sample[[#This Row],[Cook max]]/Dietary_Sample[[#This Row],[Cook median]])</f>
        <v>1.2651469706058787</v>
      </c>
      <c r="BB79" s="12">
        <f>VLOOKUP(A79,Summary!$1:$1048576,2,FALSE)</f>
        <v>3</v>
      </c>
    </row>
    <row r="80" spans="1:54" x14ac:dyDescent="0.55000000000000004">
      <c r="A80" s="10">
        <v>852</v>
      </c>
      <c r="B80" s="10" t="s">
        <v>54</v>
      </c>
      <c r="C80" s="10">
        <f>VLOOKUP($A80,'SAS Data'!$1:$1048576,MATCH(C$1,'SAS Data'!$3:$3,0),FALSE)</f>
        <v>9</v>
      </c>
      <c r="D80" s="10">
        <f>VLOOKUP($A80,'SAS Data'!$1:$1048576,MATCH(D$1,'SAS Data'!$3:$3,0),FALSE)</f>
        <v>17</v>
      </c>
      <c r="E80" s="10">
        <f t="shared" si="2"/>
        <v>26</v>
      </c>
      <c r="F80" s="11">
        <f>VLOOKUP($A80,'SAS Data'!$1:$1048576,MATCH(F$1,'SAS Data'!$3:$3,0),FALSE)</f>
        <v>12.24381019222521</v>
      </c>
      <c r="G80" s="12">
        <f>+Dietary_Sample[[#This Row],[Diet Cph]]*Dietary_Sample[[#This Row],[Diet Hrsn]]</f>
        <v>314016.99999999994</v>
      </c>
      <c r="H8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284546.14886731392</v>
      </c>
      <c r="I80" s="17">
        <f>+Dietary_Sample[[#This Row],[Employee count Sample Data Aide]]/Dietary_Sample[[#This Row],[Total aide &amp; Cook]]*Dietary_Sample[[#This Row],[Diet Hrsn]]</f>
        <v>23937.200000000001</v>
      </c>
      <c r="J80" s="13">
        <f>IF(Dietary_Sample[[#This Row],[Aide Hours]]=0,0,Dietary_Sample[[#This Row],[Aide cost estimator]]/Dietary_Sample[[#This Row],[Aide Hours]])</f>
        <v>11.887194361383701</v>
      </c>
      <c r="K8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29470.851132686083</v>
      </c>
      <c r="L80" s="17">
        <f>+Dietary_Sample[[#This Row],[Employee count Sample Data Cook]]/Dietary_Sample[[#This Row],[Total aide &amp; Cook]]*Dietary_Sample[[#This Row],[Diet Hrsn]]</f>
        <v>1709.8</v>
      </c>
      <c r="M80" s="13">
        <f>IF(Dietary_Sample[[#This Row],[Cook Hours]]=0,0,Dietary_Sample[[#This Row],[Cook cost estimator]]/Dietary_Sample[[#This Row],[Cook Hours]])</f>
        <v>17.236431824006367</v>
      </c>
      <c r="N80" s="12">
        <f>VLOOKUP(A80,'Estimator data 120523'!$A:$F,5,FALSE)</f>
        <v>314017</v>
      </c>
      <c r="O80" s="12">
        <f>VLOOKUP($A80,'SAS Data'!$1:$1048576,MATCH(O$1,'SAS Data'!$3:$3,0),FALSE)</f>
        <v>25647</v>
      </c>
      <c r="P80" s="13">
        <f>+Dietary_Sample[[#This Row],[Cost Estimator]]/Dietary_Sample[[#This Row],[Diet Hrsn]]</f>
        <v>12.243810192225212</v>
      </c>
      <c r="Q80" s="10">
        <f>COUNTIFS('Dietary Detail'!$R:$R,$A80,'Dietary Detail'!$U:$U,RIGHT(Q$1,4))</f>
        <v>14</v>
      </c>
      <c r="R80" s="10">
        <f>COUNTIFS('Dietary Detail'!$R:$R,$A80,'Dietary Detail'!$U:$U,RIGHT(R$1,4))</f>
        <v>1</v>
      </c>
      <c r="S80" s="10">
        <f>+Dietary_Sample[[#This Row],[Employee count Sample Data Aide]]+Dietary_Sample[[#This Row],[Employee count Sample Data Cook]]</f>
        <v>15</v>
      </c>
      <c r="T80" s="13">
        <v>15</v>
      </c>
      <c r="U80" s="13">
        <v>15.8</v>
      </c>
      <c r="V80" s="13">
        <v>15</v>
      </c>
      <c r="W80" s="13">
        <v>15.114285714285714</v>
      </c>
      <c r="X80" s="13">
        <v>21.75</v>
      </c>
      <c r="Y80" s="13">
        <v>21.75</v>
      </c>
      <c r="Z80" s="13">
        <v>21.75</v>
      </c>
      <c r="AA80" s="13">
        <v>21.75</v>
      </c>
      <c r="AB80" s="13">
        <f>IF(AND(Dietary_Sample[[#This Row],[Aide median]]=0,Dietary_Sample[[#This Row],[Cook median]]=0),0,IF(Dietary_Sample[[#This Row],[Aide median]]=0,1,Dietary_Sample[[#This Row],[Cook median]]/Dietary_Sample[[#This Row],[Aide median]]))</f>
        <v>1.45</v>
      </c>
      <c r="AC80" s="13">
        <f>IF(AND(Dietary_Sample[[#This Row],[Aide average]]=0,Dietary_Sample[[#This Row],[Cook average]]=0),0,IF(Dietary_Sample[[#This Row],[Aide average]]=0,1,Dietary_Sample[[#This Row],[Cook average]]/Dietary_Sample[[#This Row],[Aide average]]))</f>
        <v>1.4390359168241966</v>
      </c>
      <c r="AD80" s="37">
        <f>COUNTIFS('Dietary Detail'!$R:$R,$A80,'Dietary Detail'!$T:$T,"&lt;"&amp;V80,'Dietary Detail'!$U:$U,RIGHT(AD$1,4))</f>
        <v>0</v>
      </c>
      <c r="AE80" s="37">
        <f>COUNTIFS('Dietary Detail'!$R:$R,$A80,'Dietary Detail'!$T:$T,"&lt;"&amp;W80,'Dietary Detail'!$U:$U,RIGHT(AE$1,4))</f>
        <v>12</v>
      </c>
      <c r="AF80" s="37">
        <f>COUNTIFS('Dietary Detail'!$R:$R,$A80,'Dietary Detail'!$T:$T,"&lt;"&amp;$BG$3,'Dietary Detail'!$U:$U,RIGHT(AF$1,4))</f>
        <v>14</v>
      </c>
      <c r="AG80" s="37">
        <f>COUNTIFS('Dietary Detail'!$R:$R,$A80,'Dietary Detail'!$T:$T,"&lt;"&amp;$BG$4,'Dietary Detail'!$U:$U,RIGHT(AG$1,4))</f>
        <v>14</v>
      </c>
      <c r="AH80" s="37">
        <f>COUNTIFS('Dietary Detail'!$R:$R,$A80,'Dietary Detail'!$T:$T,"&lt;"&amp;$BG$5,'Dietary Detail'!$U:$U,RIGHT(AH$1,4))</f>
        <v>14</v>
      </c>
      <c r="AI80" s="37">
        <f>COUNTIFS('Dietary Detail'!$R:$R,$A80,'Dietary Detail'!$T:$T,"&lt;"&amp;Z80,'Dietary Detail'!$U:$U,RIGHT(AI$1,4))</f>
        <v>0</v>
      </c>
      <c r="AJ80" s="37">
        <f>COUNTIFS('Dietary Detail'!$R:$R,$A80,'Dietary Detail'!$T:$T,"&lt;"&amp;AA80,'Dietary Detail'!$U:$U,RIGHT(AJ$1,4))</f>
        <v>0</v>
      </c>
      <c r="AK80" s="37">
        <f>COUNTIFS('Dietary Detail'!$R:$R,$A80,'Dietary Detail'!$T:$T,"&lt;"&amp;$BH$3,'Dietary Detail'!$U:$U,RIGHT(AK$1,4))</f>
        <v>1</v>
      </c>
      <c r="AL80" s="37">
        <f>COUNTIFS('Dietary Detail'!$R:$R,$A80,'Dietary Detail'!$T:$T,"&lt;"&amp;$BH$4,'Dietary Detail'!$U:$U,RIGHT(AL$1,4))</f>
        <v>0</v>
      </c>
      <c r="AM80" s="37">
        <f>COUNTIFS('Dietary Detail'!$R:$R,$A80,'Dietary Detail'!$T:$T,"&lt;"&amp;$BH$5,'Dietary Detail'!$U:$U,RIGHT(AM$1,4))</f>
        <v>0</v>
      </c>
      <c r="AN80" s="12">
        <f>+Dietary_Sample[[#This Row],[Aide median]]*Dietary_Sample[[#This Row],[Aide Hours]]</f>
        <v>359058</v>
      </c>
      <c r="AO80" s="12">
        <f>+Dietary_Sample[[#This Row],[Aide average]]*Dietary_Sample[[#This Row],[Aide Hours]]</f>
        <v>361793.68</v>
      </c>
      <c r="AP80" s="12">
        <f>+Dietary_Sample[[#This Row],[Cook median]]*Dietary_Sample[[#This Row],[Cook Hours]]</f>
        <v>37188.15</v>
      </c>
      <c r="AQ80" s="12">
        <f>+Dietary_Sample[[#This Row],[Cook average]]*Dietary_Sample[[#This Row],[Cook Hours]]</f>
        <v>37188.15</v>
      </c>
      <c r="AR80" s="12">
        <f>+Dietary_Sample[[#This Row],[Est average Aide wage cost]]+Dietary_Sample[[#This Row],[Est average Cook wage cost]]</f>
        <v>398981.83</v>
      </c>
      <c r="AS80" s="12">
        <f>+Dietary_Sample[[#This Row],[Est average Aide wage cost]]+Dietary_Sample[[#This Row],[Est average Cook wage cost]]</f>
        <v>398981.83</v>
      </c>
      <c r="AT80" s="14">
        <f>IF(Dietary_Sample[[#This Row],[Aide cost estimator]]=0,0,Dietary_Sample[[#This Row],[Est median Aide wage cost ]]/Dietary_Sample[[#This Row],[Aide cost estimator]])</f>
        <v>1.26186209663808</v>
      </c>
      <c r="AU80" s="14">
        <f>IF(Dietary_Sample[[#This Row],[Aide cost estimator]]=0,0,Dietary_Sample[[#This Row],[Est average Aide wage cost]]/Dietary_Sample[[#This Row],[Aide cost estimator]])</f>
        <v>1.2714762840410367</v>
      </c>
      <c r="AV80" s="14">
        <f>IF(Dietary_Sample[[#This Row],[Cook cost estimator]]=0,0,Dietary_Sample[[#This Row],[Est median Cook wage cost]]/Dietary_Sample[[#This Row],[Cook cost estimator]])</f>
        <v>1.2618620966380802</v>
      </c>
      <c r="AW80" s="14">
        <f>IF(Dietary_Sample[[#This Row],[Cook cost estimator]]=0,0,Dietary_Sample[[#This Row],[Est average Cook wage cost]]/Dietary_Sample[[#This Row],[Cook cost estimator]])</f>
        <v>1.2618620966380802</v>
      </c>
      <c r="AX80" s="14">
        <f>IF(Dietary_Sample[[#This Row],[Aide median]]=0,0,Dietary_Sample[[#This Row],[Aide min]]/Dietary_Sample[[#This Row],[Aide median]])</f>
        <v>1</v>
      </c>
      <c r="AY80" s="14">
        <f>IF(Dietary_Sample[[#This Row],[Aide median]]=0,0,Dietary_Sample[[#This Row],[Aide max]]/Dietary_Sample[[#This Row],[Aide median]])</f>
        <v>1.0533333333333335</v>
      </c>
      <c r="AZ80" s="14">
        <f>IF(Dietary_Sample[[#This Row],[Cook median]]=0,0,Dietary_Sample[[#This Row],[Cook min]]/Dietary_Sample[[#This Row],[Cook median]])</f>
        <v>1</v>
      </c>
      <c r="BA80" s="14">
        <f>IF(Dietary_Sample[[#This Row],[Cook median]]=0,0,Dietary_Sample[[#This Row],[Cook max]]/Dietary_Sample[[#This Row],[Cook median]])</f>
        <v>1</v>
      </c>
      <c r="BB80" s="12">
        <f>VLOOKUP(A80,Summary!$1:$1048576,2,FALSE)</f>
        <v>2</v>
      </c>
    </row>
    <row r="81" spans="1:54" x14ac:dyDescent="0.55000000000000004">
      <c r="A81" s="10">
        <v>861</v>
      </c>
      <c r="B81" s="10" t="s">
        <v>54</v>
      </c>
      <c r="C81" s="10">
        <f>VLOOKUP($A81,'SAS Data'!$1:$1048576,MATCH(C$1,'SAS Data'!$3:$3,0),FALSE)</f>
        <v>10</v>
      </c>
      <c r="D81" s="10">
        <f>VLOOKUP($A81,'SAS Data'!$1:$1048576,MATCH(D$1,'SAS Data'!$3:$3,0),FALSE)</f>
        <v>7</v>
      </c>
      <c r="E81" s="10">
        <f t="shared" si="2"/>
        <v>17</v>
      </c>
      <c r="F81" s="11">
        <f>VLOOKUP($A81,'SAS Data'!$1:$1048576,MATCH(F$1,'SAS Data'!$3:$3,0),FALSE)</f>
        <v>21.225876813350414</v>
      </c>
      <c r="G81" s="12">
        <f>+Dietary_Sample[[#This Row],[Diet Cph]]*Dietary_Sample[[#This Row],[Diet Hrsn]]</f>
        <v>613067</v>
      </c>
      <c r="H8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393422.71697730373</v>
      </c>
      <c r="I81" s="17">
        <f>+Dietary_Sample[[#This Row],[Employee count Sample Data Aide]]/Dietary_Sample[[#This Row],[Total aide &amp; Cook]]*Dietary_Sample[[#This Row],[Diet Hrsn]]</f>
        <v>20859.944444444445</v>
      </c>
      <c r="J81" s="13">
        <f>IF(Dietary_Sample[[#This Row],[Aide Hours]]=0,0,Dietary_Sample[[#This Row],[Aide cost estimator]]/Dietary_Sample[[#This Row],[Aide Hours]])</f>
        <v>18.860199653220199</v>
      </c>
      <c r="K8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219644.28302269627</v>
      </c>
      <c r="L81" s="17">
        <f>+Dietary_Sample[[#This Row],[Employee count Sample Data Cook]]/Dietary_Sample[[#This Row],[Total aide &amp; Cook]]*Dietary_Sample[[#This Row],[Diet Hrsn]]</f>
        <v>8023.0555555555557</v>
      </c>
      <c r="M81" s="13">
        <f>IF(Dietary_Sample[[#This Row],[Cook Hours]]=0,0,Dietary_Sample[[#This Row],[Cook cost estimator]]/Dietary_Sample[[#This Row],[Cook Hours]])</f>
        <v>27.376637429688973</v>
      </c>
      <c r="N81" s="12">
        <f>VLOOKUP(A81,'Estimator data 120523'!$A:$F,5,FALSE)</f>
        <v>613067</v>
      </c>
      <c r="O81" s="12">
        <f>VLOOKUP($A81,'SAS Data'!$1:$1048576,MATCH(O$1,'SAS Data'!$3:$3,0),FALSE)</f>
        <v>28883</v>
      </c>
      <c r="P81" s="13">
        <f>+Dietary_Sample[[#This Row],[Cost Estimator]]/Dietary_Sample[[#This Row],[Diet Hrsn]]</f>
        <v>21.225876813350414</v>
      </c>
      <c r="Q81" s="10">
        <f>COUNTIFS('Dietary Detail'!$R:$R,$A81,'Dietary Detail'!$U:$U,RIGHT(Q$1,4))</f>
        <v>13</v>
      </c>
      <c r="R81" s="10">
        <f>COUNTIFS('Dietary Detail'!$R:$R,$A81,'Dietary Detail'!$U:$U,RIGHT(R$1,4))</f>
        <v>5</v>
      </c>
      <c r="S81" s="10">
        <f>+Dietary_Sample[[#This Row],[Employee count Sample Data Aide]]+Dietary_Sample[[#This Row],[Employee count Sample Data Cook]]</f>
        <v>18</v>
      </c>
      <c r="T81" s="13">
        <v>15.64</v>
      </c>
      <c r="U81" s="13">
        <v>17.690000000000001</v>
      </c>
      <c r="V81" s="13">
        <v>17.03</v>
      </c>
      <c r="W81" s="13">
        <v>16.773846153846154</v>
      </c>
      <c r="X81" s="13">
        <v>19.170000000000002</v>
      </c>
      <c r="Y81" s="13">
        <v>25.75</v>
      </c>
      <c r="Z81" s="13">
        <v>24.72</v>
      </c>
      <c r="AA81" s="13">
        <v>23.815999999999999</v>
      </c>
      <c r="AB81" s="13">
        <f>IF(AND(Dietary_Sample[[#This Row],[Aide median]]=0,Dietary_Sample[[#This Row],[Cook median]]=0),0,IF(Dietary_Sample[[#This Row],[Aide median]]=0,1,Dietary_Sample[[#This Row],[Cook median]]/Dietary_Sample[[#This Row],[Aide median]]))</f>
        <v>1.4515560775102758</v>
      </c>
      <c r="AC81" s="13">
        <f>IF(AND(Dietary_Sample[[#This Row],[Aide average]]=0,Dietary_Sample[[#This Row],[Cook average]]=0),0,IF(Dietary_Sample[[#This Row],[Aide average]]=0,1,Dietary_Sample[[#This Row],[Cook average]]/Dietary_Sample[[#This Row],[Aide average]]))</f>
        <v>1.4198294047509858</v>
      </c>
      <c r="AD81" s="37">
        <f>COUNTIFS('Dietary Detail'!$R:$R,$A81,'Dietary Detail'!$T:$T,"&lt;"&amp;V81,'Dietary Detail'!$U:$U,RIGHT(AD$1,4))</f>
        <v>6</v>
      </c>
      <c r="AE81" s="37">
        <f>COUNTIFS('Dietary Detail'!$R:$R,$A81,'Dietary Detail'!$T:$T,"&lt;"&amp;W81,'Dietary Detail'!$U:$U,RIGHT(AE$1,4))</f>
        <v>6</v>
      </c>
      <c r="AF81" s="37">
        <f>COUNTIFS('Dietary Detail'!$R:$R,$A81,'Dietary Detail'!$T:$T,"&lt;"&amp;$BG$3,'Dietary Detail'!$U:$U,RIGHT(AF$1,4))</f>
        <v>13</v>
      </c>
      <c r="AG81" s="37">
        <f>COUNTIFS('Dietary Detail'!$R:$R,$A81,'Dietary Detail'!$T:$T,"&lt;"&amp;$BG$4,'Dietary Detail'!$U:$U,RIGHT(AG$1,4))</f>
        <v>6</v>
      </c>
      <c r="AH81" s="37">
        <f>COUNTIFS('Dietary Detail'!$R:$R,$A81,'Dietary Detail'!$T:$T,"&lt;"&amp;$BG$5,'Dietary Detail'!$U:$U,RIGHT(AH$1,4))</f>
        <v>6</v>
      </c>
      <c r="AI81" s="37">
        <f>COUNTIFS('Dietary Detail'!$R:$R,$A81,'Dietary Detail'!$T:$T,"&lt;"&amp;Z81,'Dietary Detail'!$U:$U,RIGHT(AI$1,4))</f>
        <v>1</v>
      </c>
      <c r="AJ81" s="37">
        <f>COUNTIFS('Dietary Detail'!$R:$R,$A81,'Dietary Detail'!$T:$T,"&lt;"&amp;AA81,'Dietary Detail'!$U:$U,RIGHT(AJ$1,4))</f>
        <v>1</v>
      </c>
      <c r="AK81" s="37">
        <f>COUNTIFS('Dietary Detail'!$R:$R,$A81,'Dietary Detail'!$T:$T,"&lt;"&amp;$BH$3,'Dietary Detail'!$U:$U,RIGHT(AK$1,4))</f>
        <v>4</v>
      </c>
      <c r="AL81" s="37">
        <f>COUNTIFS('Dietary Detail'!$R:$R,$A81,'Dietary Detail'!$T:$T,"&lt;"&amp;$BH$4,'Dietary Detail'!$U:$U,RIGHT(AL$1,4))</f>
        <v>1</v>
      </c>
      <c r="AM81" s="37">
        <f>COUNTIFS('Dietary Detail'!$R:$R,$A81,'Dietary Detail'!$T:$T,"&lt;"&amp;$BH$5,'Dietary Detail'!$U:$U,RIGHT(AM$1,4))</f>
        <v>1</v>
      </c>
      <c r="AN81" s="12">
        <f>+Dietary_Sample[[#This Row],[Aide median]]*Dietary_Sample[[#This Row],[Aide Hours]]</f>
        <v>355244.8538888889</v>
      </c>
      <c r="AO81" s="12">
        <f>+Dietary_Sample[[#This Row],[Aide average]]*Dietary_Sample[[#This Row],[Aide Hours]]</f>
        <v>349901.49888888892</v>
      </c>
      <c r="AP81" s="12">
        <f>+Dietary_Sample[[#This Row],[Cook median]]*Dietary_Sample[[#This Row],[Cook Hours]]</f>
        <v>198329.93333333332</v>
      </c>
      <c r="AQ81" s="12">
        <f>+Dietary_Sample[[#This Row],[Cook average]]*Dietary_Sample[[#This Row],[Cook Hours]]</f>
        <v>191077.09111111111</v>
      </c>
      <c r="AR81" s="12">
        <f>+Dietary_Sample[[#This Row],[Est average Aide wage cost]]+Dietary_Sample[[#This Row],[Est average Cook wage cost]]</f>
        <v>540978.59000000008</v>
      </c>
      <c r="AS81" s="12">
        <f>+Dietary_Sample[[#This Row],[Est average Aide wage cost]]+Dietary_Sample[[#This Row],[Est average Cook wage cost]]</f>
        <v>540978.59000000008</v>
      </c>
      <c r="AT81" s="14">
        <f>IF(Dietary_Sample[[#This Row],[Aide cost estimator]]=0,0,Dietary_Sample[[#This Row],[Est median Aide wage cost ]]/Dietary_Sample[[#This Row],[Aide cost estimator]])</f>
        <v>0.90295968829218043</v>
      </c>
      <c r="AU81" s="14">
        <f>IF(Dietary_Sample[[#This Row],[Aide cost estimator]]=0,0,Dietary_Sample[[#This Row],[Est average Aide wage cost]]/Dietary_Sample[[#This Row],[Aide cost estimator]])</f>
        <v>0.88937797384250816</v>
      </c>
      <c r="AV81" s="14">
        <f>IF(Dietary_Sample[[#This Row],[Cook cost estimator]]=0,0,Dietary_Sample[[#This Row],[Est median Cook wage cost]]/Dietary_Sample[[#This Row],[Cook cost estimator]])</f>
        <v>0.90295968829218065</v>
      </c>
      <c r="AW81" s="14">
        <f>IF(Dietary_Sample[[#This Row],[Cook cost estimator]]=0,0,Dietary_Sample[[#This Row],[Est average Cook wage cost]]/Dietary_Sample[[#This Row],[Cook cost estimator]])</f>
        <v>0.86993883237728864</v>
      </c>
      <c r="AX81" s="14">
        <f>IF(Dietary_Sample[[#This Row],[Aide median]]=0,0,Dietary_Sample[[#This Row],[Aide min]]/Dietary_Sample[[#This Row],[Aide median]])</f>
        <v>0.91837933059307097</v>
      </c>
      <c r="AY81" s="14">
        <f>IF(Dietary_Sample[[#This Row],[Aide median]]=0,0,Dietary_Sample[[#This Row],[Aide max]]/Dietary_Sample[[#This Row],[Aide median]])</f>
        <v>1.0387551379917792</v>
      </c>
      <c r="AZ81" s="14">
        <f>IF(Dietary_Sample[[#This Row],[Cook median]]=0,0,Dietary_Sample[[#This Row],[Cook min]]/Dietary_Sample[[#This Row],[Cook median]])</f>
        <v>0.77548543689320404</v>
      </c>
      <c r="BA81" s="14">
        <f>IF(Dietary_Sample[[#This Row],[Cook median]]=0,0,Dietary_Sample[[#This Row],[Cook max]]/Dietary_Sample[[#This Row],[Cook median]])</f>
        <v>1.0416666666666667</v>
      </c>
      <c r="BB81" s="12">
        <f>VLOOKUP(A81,Summary!$1:$1048576,2,FALSE)</f>
        <v>3</v>
      </c>
    </row>
    <row r="82" spans="1:54" x14ac:dyDescent="0.55000000000000004">
      <c r="A82" s="10">
        <v>883</v>
      </c>
      <c r="B82" s="10" t="s">
        <v>54</v>
      </c>
      <c r="C82" s="10">
        <f>VLOOKUP($A82,'SAS Data'!$1:$1048576,MATCH(C$1,'SAS Data'!$3:$3,0),FALSE)</f>
        <v>0</v>
      </c>
      <c r="D82" s="10">
        <f>VLOOKUP($A82,'SAS Data'!$1:$1048576,MATCH(D$1,'SAS Data'!$3:$3,0),FALSE)</f>
        <v>0</v>
      </c>
      <c r="E82" s="10">
        <f t="shared" si="2"/>
        <v>0</v>
      </c>
      <c r="F82" s="11">
        <f>VLOOKUP($A82,'SAS Data'!$1:$1048576,MATCH(F$1,'SAS Data'!$3:$3,0),FALSE)</f>
        <v>0</v>
      </c>
      <c r="G82" s="12">
        <f>+Dietary_Sample[[#This Row],[Diet Cph]]*Dietary_Sample[[#This Row],[Diet Hrsn]]</f>
        <v>0</v>
      </c>
      <c r="H8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129444.69839965613</v>
      </c>
      <c r="I82" s="17">
        <f>+Dietary_Sample[[#This Row],[Employee count Sample Data Aide]]/Dietary_Sample[[#This Row],[Total aide &amp; Cook]]*Dietary_Sample[[#This Row],[Diet Hrsn]]</f>
        <v>6618</v>
      </c>
      <c r="J82" s="13">
        <f>IF(Dietary_Sample[[#This Row],[Aide Hours]]=0,0,Dietary_Sample[[#This Row],[Aide cost estimator]]/Dietary_Sample[[#This Row],[Aide Hours]])</f>
        <v>19.559489029866445</v>
      </c>
      <c r="K8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361741.79142086417</v>
      </c>
      <c r="L82" s="17">
        <f>+Dietary_Sample[[#This Row],[Employee count Sample Data Cook]]/Dietary_Sample[[#This Row],[Total aide &amp; Cook]]*Dietary_Sample[[#This Row],[Diet Hrsn]]</f>
        <v>15441.999999999998</v>
      </c>
      <c r="M82" s="13">
        <f>IF(Dietary_Sample[[#This Row],[Cook Hours]]=0,0,Dietary_Sample[[#This Row],[Cook cost estimator]]/Dietary_Sample[[#This Row],[Cook Hours]])</f>
        <v>23.42583806636862</v>
      </c>
      <c r="N82" s="12">
        <f>VLOOKUP(A82,'Estimator data 120523'!$A:$F,5,FALSE)</f>
        <v>491186.48982052028</v>
      </c>
      <c r="O82" s="12">
        <f>VLOOKUP($A82,'SAS Data'!$1:$1048576,MATCH(O$1,'SAS Data'!$3:$3,0),FALSE)</f>
        <v>22060</v>
      </c>
      <c r="P82" s="13">
        <f>+Dietary_Sample[[#This Row],[Cost Estimator]]/Dietary_Sample[[#This Row],[Diet Hrsn]]</f>
        <v>22.265933355417964</v>
      </c>
      <c r="Q82" s="10">
        <f>COUNTIFS('Dietary Detail'!$R:$R,$A82,'Dietary Detail'!$U:$U,RIGHT(Q$1,4))</f>
        <v>6</v>
      </c>
      <c r="R82" s="10">
        <f>COUNTIFS('Dietary Detail'!$R:$R,$A82,'Dietary Detail'!$U:$U,RIGHT(R$1,4))</f>
        <v>14</v>
      </c>
      <c r="S82" s="10">
        <f>+Dietary_Sample[[#This Row],[Employee count Sample Data Aide]]+Dietary_Sample[[#This Row],[Employee count Sample Data Cook]]</f>
        <v>20</v>
      </c>
      <c r="T82" s="13">
        <v>15.85</v>
      </c>
      <c r="U82" s="13">
        <v>25.26</v>
      </c>
      <c r="V82" s="13">
        <v>18.465</v>
      </c>
      <c r="W82" s="13">
        <v>19.331666666666667</v>
      </c>
      <c r="X82" s="13">
        <v>19</v>
      </c>
      <c r="Y82" s="13">
        <v>26.98</v>
      </c>
      <c r="Z82" s="13">
        <v>22.115000000000002</v>
      </c>
      <c r="AA82" s="13">
        <v>22.521428571428572</v>
      </c>
      <c r="AB82" s="13">
        <f>IF(AND(Dietary_Sample[[#This Row],[Aide median]]=0,Dietary_Sample[[#This Row],[Cook median]]=0),0,IF(Dietary_Sample[[#This Row],[Aide median]]=0,1,Dietary_Sample[[#This Row],[Cook median]]/Dietary_Sample[[#This Row],[Aide median]]))</f>
        <v>1.1976712699702141</v>
      </c>
      <c r="AC82" s="13">
        <f>IF(AND(Dietary_Sample[[#This Row],[Aide average]]=0,Dietary_Sample[[#This Row],[Cook average]]=0),0,IF(Dietary_Sample[[#This Row],[Aide average]]=0,1,Dietary_Sample[[#This Row],[Cook average]]/Dietary_Sample[[#This Row],[Aide average]]))</f>
        <v>1.1650019090315669</v>
      </c>
      <c r="AD82" s="37">
        <f>COUNTIFS('Dietary Detail'!$R:$R,$A82,'Dietary Detail'!$T:$T,"&lt;"&amp;V82,'Dietary Detail'!$U:$U,RIGHT(AD$1,4))</f>
        <v>3</v>
      </c>
      <c r="AE82" s="37">
        <f>COUNTIFS('Dietary Detail'!$R:$R,$A82,'Dietary Detail'!$T:$T,"&lt;"&amp;W82,'Dietary Detail'!$U:$U,RIGHT(AE$1,4))</f>
        <v>4</v>
      </c>
      <c r="AF82" s="37">
        <f>COUNTIFS('Dietary Detail'!$R:$R,$A82,'Dietary Detail'!$T:$T,"&lt;"&amp;$BG$3,'Dietary Detail'!$U:$U,RIGHT(AF$1,4))</f>
        <v>5</v>
      </c>
      <c r="AG82" s="37">
        <f>COUNTIFS('Dietary Detail'!$R:$R,$A82,'Dietary Detail'!$T:$T,"&lt;"&amp;$BG$4,'Dietary Detail'!$U:$U,RIGHT(AG$1,4))</f>
        <v>1</v>
      </c>
      <c r="AH82" s="37">
        <f>COUNTIFS('Dietary Detail'!$R:$R,$A82,'Dietary Detail'!$T:$T,"&lt;"&amp;$BG$5,'Dietary Detail'!$U:$U,RIGHT(AH$1,4))</f>
        <v>1</v>
      </c>
      <c r="AI82" s="37">
        <f>COUNTIFS('Dietary Detail'!$R:$R,$A82,'Dietary Detail'!$T:$T,"&lt;"&amp;Z82,'Dietary Detail'!$U:$U,RIGHT(AI$1,4))</f>
        <v>7</v>
      </c>
      <c r="AJ82" s="37">
        <f>COUNTIFS('Dietary Detail'!$R:$R,$A82,'Dietary Detail'!$T:$T,"&lt;"&amp;AA82,'Dietary Detail'!$U:$U,RIGHT(AJ$1,4))</f>
        <v>8</v>
      </c>
      <c r="AK82" s="37">
        <f>COUNTIFS('Dietary Detail'!$R:$R,$A82,'Dietary Detail'!$T:$T,"&lt;"&amp;$BH$3,'Dietary Detail'!$U:$U,RIGHT(AK$1,4))</f>
        <v>12</v>
      </c>
      <c r="AL82" s="37">
        <f>COUNTIFS('Dietary Detail'!$R:$R,$A82,'Dietary Detail'!$T:$T,"&lt;"&amp;$BH$4,'Dietary Detail'!$U:$U,RIGHT(AL$1,4))</f>
        <v>1</v>
      </c>
      <c r="AM82" s="37">
        <f>COUNTIFS('Dietary Detail'!$R:$R,$A82,'Dietary Detail'!$T:$T,"&lt;"&amp;$BH$5,'Dietary Detail'!$U:$U,RIGHT(AM$1,4))</f>
        <v>1</v>
      </c>
      <c r="AN82" s="12">
        <f>+Dietary_Sample[[#This Row],[Aide median]]*Dietary_Sample[[#This Row],[Aide Hours]]</f>
        <v>122201.37</v>
      </c>
      <c r="AO82" s="12">
        <f>+Dietary_Sample[[#This Row],[Aide average]]*Dietary_Sample[[#This Row],[Aide Hours]]</f>
        <v>127936.97</v>
      </c>
      <c r="AP82" s="12">
        <f>+Dietary_Sample[[#This Row],[Cook median]]*Dietary_Sample[[#This Row],[Cook Hours]]</f>
        <v>341499.83</v>
      </c>
      <c r="AQ82" s="12">
        <f>+Dietary_Sample[[#This Row],[Cook average]]*Dietary_Sample[[#This Row],[Cook Hours]]</f>
        <v>347775.89999999997</v>
      </c>
      <c r="AR82" s="12">
        <f>+Dietary_Sample[[#This Row],[Est average Aide wage cost]]+Dietary_Sample[[#This Row],[Est average Cook wage cost]]</f>
        <v>475712.87</v>
      </c>
      <c r="AS82" s="12">
        <f>+Dietary_Sample[[#This Row],[Est average Aide wage cost]]+Dietary_Sample[[#This Row],[Est average Cook wage cost]]</f>
        <v>475712.87</v>
      </c>
      <c r="AT82" s="14">
        <f>IF(Dietary_Sample[[#This Row],[Aide cost estimator]]=0,0,Dietary_Sample[[#This Row],[Est median Aide wage cost ]]/Dietary_Sample[[#This Row],[Aide cost estimator]])</f>
        <v>0.94404306635029112</v>
      </c>
      <c r="AU82" s="14">
        <f>IF(Dietary_Sample[[#This Row],[Aide cost estimator]]=0,0,Dietary_Sample[[#This Row],[Est average Aide wage cost]]/Dietary_Sample[[#This Row],[Aide cost estimator]])</f>
        <v>0.98835233564374281</v>
      </c>
      <c r="AV82" s="14">
        <f>IF(Dietary_Sample[[#This Row],[Cook cost estimator]]=0,0,Dietary_Sample[[#This Row],[Est median Cook wage cost]]/Dietary_Sample[[#This Row],[Cook cost estimator]])</f>
        <v>0.944043066350291</v>
      </c>
      <c r="AW82" s="14">
        <f>IF(Dietary_Sample[[#This Row],[Cook cost estimator]]=0,0,Dietary_Sample[[#This Row],[Est average Cook wage cost]]/Dietary_Sample[[#This Row],[Cook cost estimator]])</f>
        <v>0.96139265146554287</v>
      </c>
      <c r="AX82" s="14">
        <f>IF(Dietary_Sample[[#This Row],[Aide median]]=0,0,Dietary_Sample[[#This Row],[Aide min]]/Dietary_Sample[[#This Row],[Aide median]])</f>
        <v>0.85838072028161383</v>
      </c>
      <c r="AY82" s="14">
        <f>IF(Dietary_Sample[[#This Row],[Aide median]]=0,0,Dietary_Sample[[#This Row],[Aide max]]/Dietary_Sample[[#This Row],[Aide median]])</f>
        <v>1.3679935012185216</v>
      </c>
      <c r="AZ82" s="14">
        <f>IF(Dietary_Sample[[#This Row],[Cook median]]=0,0,Dietary_Sample[[#This Row],[Cook min]]/Dietary_Sample[[#This Row],[Cook median]])</f>
        <v>0.85914537644132938</v>
      </c>
      <c r="BA82" s="14">
        <f>IF(Dietary_Sample[[#This Row],[Cook median]]=0,0,Dietary_Sample[[#This Row],[Cook max]]/Dietary_Sample[[#This Row],[Cook median]])</f>
        <v>1.2199864345466878</v>
      </c>
      <c r="BB82" s="12">
        <f>VLOOKUP(A82,Summary!$1:$1048576,2,FALSE)</f>
        <v>2</v>
      </c>
    </row>
    <row r="83" spans="1:54" x14ac:dyDescent="0.55000000000000004">
      <c r="A83" s="10">
        <v>901</v>
      </c>
      <c r="B83" s="10" t="s">
        <v>54</v>
      </c>
      <c r="C83" s="10">
        <f>VLOOKUP($A83,'SAS Data'!$1:$1048576,MATCH(C$1,'SAS Data'!$3:$3,0),FALSE)</f>
        <v>6</v>
      </c>
      <c r="D83" s="10">
        <f>VLOOKUP($A83,'SAS Data'!$1:$1048576,MATCH(D$1,'SAS Data'!$3:$3,0),FALSE)</f>
        <v>2</v>
      </c>
      <c r="E83" s="10">
        <f t="shared" si="2"/>
        <v>8</v>
      </c>
      <c r="F83" s="11">
        <f>VLOOKUP($A83,'SAS Data'!$1:$1048576,MATCH(F$1,'SAS Data'!$3:$3,0),FALSE)</f>
        <v>18.610709117221418</v>
      </c>
      <c r="G83" s="12">
        <f>+Dietary_Sample[[#This Row],[Diet Cph]]*Dietary_Sample[[#This Row],[Diet Hrsn]]</f>
        <v>128600</v>
      </c>
      <c r="H83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78029.902743504135</v>
      </c>
      <c r="I83" s="17">
        <f>+Dietary_Sample[[#This Row],[Employee count Sample Data Aide]]/Dietary_Sample[[#This Row],[Total aide &amp; Cook]]*Dietary_Sample[[#This Row],[Diet Hrsn]]</f>
        <v>4318.75</v>
      </c>
      <c r="J83" s="13">
        <f>IF(Dietary_Sample[[#This Row],[Aide Hours]]=0,0,Dietary_Sample[[#This Row],[Aide cost estimator]]/Dietary_Sample[[#This Row],[Aide Hours]])</f>
        <v>18.067705410941624</v>
      </c>
      <c r="K83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50570.097256495865</v>
      </c>
      <c r="L83" s="17">
        <f>+Dietary_Sample[[#This Row],[Employee count Sample Data Cook]]/Dietary_Sample[[#This Row],[Total aide &amp; Cook]]*Dietary_Sample[[#This Row],[Diet Hrsn]]</f>
        <v>2591.25</v>
      </c>
      <c r="M83" s="13">
        <f>IF(Dietary_Sample[[#This Row],[Cook Hours]]=0,0,Dietary_Sample[[#This Row],[Cook cost estimator]]/Dietary_Sample[[#This Row],[Cook Hours]])</f>
        <v>19.515715294354411</v>
      </c>
      <c r="N83" s="12">
        <f>VLOOKUP(A83,'Estimator data 120523'!$A:$F,5,FALSE)</f>
        <v>128600</v>
      </c>
      <c r="O83" s="12">
        <f>VLOOKUP($A83,'SAS Data'!$1:$1048576,MATCH(O$1,'SAS Data'!$3:$3,0),FALSE)</f>
        <v>6910</v>
      </c>
      <c r="P83" s="13">
        <f>+Dietary_Sample[[#This Row],[Cost Estimator]]/Dietary_Sample[[#This Row],[Diet Hrsn]]</f>
        <v>18.610709117221418</v>
      </c>
      <c r="Q83" s="10">
        <f>COUNTIFS('Dietary Detail'!$R:$R,$A83,'Dietary Detail'!$U:$U,RIGHT(Q$1,4))</f>
        <v>5</v>
      </c>
      <c r="R83" s="10">
        <f>COUNTIFS('Dietary Detail'!$R:$R,$A83,'Dietary Detail'!$U:$U,RIGHT(R$1,4))</f>
        <v>3</v>
      </c>
      <c r="S83" s="10">
        <f>+Dietary_Sample[[#This Row],[Employee count Sample Data Aide]]+Dietary_Sample[[#This Row],[Employee count Sample Data Cook]]</f>
        <v>8</v>
      </c>
      <c r="T83" s="13">
        <v>15.38</v>
      </c>
      <c r="U83" s="13">
        <v>17.97</v>
      </c>
      <c r="V83" s="13">
        <v>16.72</v>
      </c>
      <c r="W83" s="13">
        <v>16.701999999999998</v>
      </c>
      <c r="X83" s="13">
        <v>16.53</v>
      </c>
      <c r="Y83" s="13">
        <v>18.43</v>
      </c>
      <c r="Z83" s="13">
        <v>18.059999999999999</v>
      </c>
      <c r="AA83" s="13">
        <v>17.673333333333336</v>
      </c>
      <c r="AB83" s="13">
        <f>IF(AND(Dietary_Sample[[#This Row],[Aide median]]=0,Dietary_Sample[[#This Row],[Cook median]]=0),0,IF(Dietary_Sample[[#This Row],[Aide median]]=0,1,Dietary_Sample[[#This Row],[Cook median]]/Dietary_Sample[[#This Row],[Aide median]]))</f>
        <v>1.0801435406698565</v>
      </c>
      <c r="AC83" s="13">
        <f>IF(AND(Dietary_Sample[[#This Row],[Aide average]]=0,Dietary_Sample[[#This Row],[Cook average]]=0),0,IF(Dietary_Sample[[#This Row],[Aide average]]=0,1,Dietary_Sample[[#This Row],[Cook average]]/Dietary_Sample[[#This Row],[Aide average]]))</f>
        <v>1.0581567077795078</v>
      </c>
      <c r="AD83" s="37">
        <f>COUNTIFS('Dietary Detail'!$R:$R,$A83,'Dietary Detail'!$T:$T,"&lt;"&amp;V83,'Dietary Detail'!$U:$U,RIGHT(AD$1,4))</f>
        <v>1</v>
      </c>
      <c r="AE83" s="37">
        <f>COUNTIFS('Dietary Detail'!$R:$R,$A83,'Dietary Detail'!$T:$T,"&lt;"&amp;W83,'Dietary Detail'!$U:$U,RIGHT(AE$1,4))</f>
        <v>1</v>
      </c>
      <c r="AF83" s="37">
        <f>COUNTIFS('Dietary Detail'!$R:$R,$A83,'Dietary Detail'!$T:$T,"&lt;"&amp;$BG$3,'Dietary Detail'!$U:$U,RIGHT(AF$1,4))</f>
        <v>5</v>
      </c>
      <c r="AG83" s="37">
        <f>COUNTIFS('Dietary Detail'!$R:$R,$A83,'Dietary Detail'!$T:$T,"&lt;"&amp;$BG$4,'Dietary Detail'!$U:$U,RIGHT(AG$1,4))</f>
        <v>1</v>
      </c>
      <c r="AH83" s="37">
        <f>COUNTIFS('Dietary Detail'!$R:$R,$A83,'Dietary Detail'!$T:$T,"&lt;"&amp;$BG$5,'Dietary Detail'!$U:$U,RIGHT(AH$1,4))</f>
        <v>1</v>
      </c>
      <c r="AI83" s="37">
        <f>COUNTIFS('Dietary Detail'!$R:$R,$A83,'Dietary Detail'!$T:$T,"&lt;"&amp;Z83,'Dietary Detail'!$U:$U,RIGHT(AI$1,4))</f>
        <v>1</v>
      </c>
      <c r="AJ83" s="37">
        <f>COUNTIFS('Dietary Detail'!$R:$R,$A83,'Dietary Detail'!$T:$T,"&lt;"&amp;AA83,'Dietary Detail'!$U:$U,RIGHT(AJ$1,4))</f>
        <v>1</v>
      </c>
      <c r="AK83" s="37">
        <f>COUNTIFS('Dietary Detail'!$R:$R,$A83,'Dietary Detail'!$T:$T,"&lt;"&amp;$BH$3,'Dietary Detail'!$U:$U,RIGHT(AK$1,4))</f>
        <v>3</v>
      </c>
      <c r="AL83" s="37">
        <f>COUNTIFS('Dietary Detail'!$R:$R,$A83,'Dietary Detail'!$T:$T,"&lt;"&amp;$BH$4,'Dietary Detail'!$U:$U,RIGHT(AL$1,4))</f>
        <v>3</v>
      </c>
      <c r="AM83" s="37">
        <f>COUNTIFS('Dietary Detail'!$R:$R,$A83,'Dietary Detail'!$T:$T,"&lt;"&amp;$BH$5,'Dietary Detail'!$U:$U,RIGHT(AM$1,4))</f>
        <v>3</v>
      </c>
      <c r="AN83" s="12">
        <f>+Dietary_Sample[[#This Row],[Aide median]]*Dietary_Sample[[#This Row],[Aide Hours]]</f>
        <v>72209.5</v>
      </c>
      <c r="AO83" s="12">
        <f>+Dietary_Sample[[#This Row],[Aide average]]*Dietary_Sample[[#This Row],[Aide Hours]]</f>
        <v>72131.762499999997</v>
      </c>
      <c r="AP83" s="12">
        <f>+Dietary_Sample[[#This Row],[Cook median]]*Dietary_Sample[[#This Row],[Cook Hours]]</f>
        <v>46797.974999999999</v>
      </c>
      <c r="AQ83" s="12">
        <f>+Dietary_Sample[[#This Row],[Cook average]]*Dietary_Sample[[#This Row],[Cook Hours]]</f>
        <v>45796.025000000009</v>
      </c>
      <c r="AR83" s="12">
        <f>+Dietary_Sample[[#This Row],[Est average Aide wage cost]]+Dietary_Sample[[#This Row],[Est average Cook wage cost]]</f>
        <v>117927.78750000001</v>
      </c>
      <c r="AS83" s="12">
        <f>+Dietary_Sample[[#This Row],[Est average Aide wage cost]]+Dietary_Sample[[#This Row],[Est average Cook wage cost]]</f>
        <v>117927.78750000001</v>
      </c>
      <c r="AT83" s="14">
        <f>IF(Dietary_Sample[[#This Row],[Aide cost estimator]]=0,0,Dietary_Sample[[#This Row],[Est median Aide wage cost ]]/Dietary_Sample[[#This Row],[Aide cost estimator]])</f>
        <v>0.92540804821150857</v>
      </c>
      <c r="AU83" s="14">
        <f>IF(Dietary_Sample[[#This Row],[Aide cost estimator]]=0,0,Dietary_Sample[[#This Row],[Est average Aide wage cost]]/Dietary_Sample[[#This Row],[Aide cost estimator]])</f>
        <v>0.92441179552802721</v>
      </c>
      <c r="AV83" s="14">
        <f>IF(Dietary_Sample[[#This Row],[Cook cost estimator]]=0,0,Dietary_Sample[[#This Row],[Est median Cook wage cost]]/Dietary_Sample[[#This Row],[Cook cost estimator]])</f>
        <v>0.92540804821150846</v>
      </c>
      <c r="AW83" s="14">
        <f>IF(Dietary_Sample[[#This Row],[Cook cost estimator]]=0,0,Dietary_Sample[[#This Row],[Est average Cook wage cost]]/Dietary_Sample[[#This Row],[Cook cost estimator]])</f>
        <v>0.90559495600173845</v>
      </c>
      <c r="AX83" s="14">
        <f>IF(Dietary_Sample[[#This Row],[Aide median]]=0,0,Dietary_Sample[[#This Row],[Aide min]]/Dietary_Sample[[#This Row],[Aide median]])</f>
        <v>0.91985645933014371</v>
      </c>
      <c r="AY83" s="14">
        <f>IF(Dietary_Sample[[#This Row],[Aide median]]=0,0,Dietary_Sample[[#This Row],[Aide max]]/Dietary_Sample[[#This Row],[Aide median]])</f>
        <v>1.0747607655502391</v>
      </c>
      <c r="AZ83" s="14">
        <f>IF(Dietary_Sample[[#This Row],[Cook median]]=0,0,Dietary_Sample[[#This Row],[Cook min]]/Dietary_Sample[[#This Row],[Cook median]])</f>
        <v>0.91528239202657824</v>
      </c>
      <c r="BA83" s="14">
        <f>IF(Dietary_Sample[[#This Row],[Cook median]]=0,0,Dietary_Sample[[#This Row],[Cook max]]/Dietary_Sample[[#This Row],[Cook median]])</f>
        <v>1.0204872646733112</v>
      </c>
      <c r="BB83" s="12">
        <f>VLOOKUP(A83,Summary!$1:$1048576,2,FALSE)</f>
        <v>3</v>
      </c>
    </row>
    <row r="84" spans="1:54" x14ac:dyDescent="0.55000000000000004">
      <c r="A84" s="10">
        <v>910</v>
      </c>
      <c r="B84" s="10" t="s">
        <v>54</v>
      </c>
      <c r="C84" s="10">
        <f>VLOOKUP($A84,'SAS Data'!$1:$1048576,MATCH(C$1,'SAS Data'!$3:$3,0),FALSE)</f>
        <v>19</v>
      </c>
      <c r="D84" s="10">
        <f>VLOOKUP($A84,'SAS Data'!$1:$1048576,MATCH(D$1,'SAS Data'!$3:$3,0),FALSE)</f>
        <v>5</v>
      </c>
      <c r="E84" s="10">
        <f t="shared" si="2"/>
        <v>24</v>
      </c>
      <c r="F84" s="11">
        <f>VLOOKUP($A84,'SAS Data'!$1:$1048576,MATCH(F$1,'SAS Data'!$3:$3,0),FALSE)</f>
        <v>11.040510522213562</v>
      </c>
      <c r="G84" s="12">
        <f>+Dietary_Sample[[#This Row],[Diet Cph]]*Dietary_Sample[[#This Row],[Diet Hrsn]]</f>
        <v>566599</v>
      </c>
      <c r="H84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251129.73718396368</v>
      </c>
      <c r="I84" s="17">
        <f>+Dietary_Sample[[#This Row],[Employee count Sample Data Aide]]/Dietary_Sample[[#This Row],[Total aide &amp; Cook]]*Dietary_Sample[[#This Row],[Diet Hrsn]]</f>
        <v>24709.629629629628</v>
      </c>
      <c r="J84" s="13">
        <f>IF(Dietary_Sample[[#This Row],[Aide Hours]]=0,0,Dietary_Sample[[#This Row],[Aide cost estimator]]/Dietary_Sample[[#This Row],[Aide Hours]])</f>
        <v>10.163233563113826</v>
      </c>
      <c r="K84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315469.26281603635</v>
      </c>
      <c r="L84" s="17">
        <f>+Dietary_Sample[[#This Row],[Employee count Sample Data Cook]]/Dietary_Sample[[#This Row],[Total aide &amp; Cook]]*Dietary_Sample[[#This Row],[Diet Hrsn]]</f>
        <v>26610.370370370369</v>
      </c>
      <c r="M84" s="13">
        <f>IF(Dietary_Sample[[#This Row],[Cook Hours]]=0,0,Dietary_Sample[[#This Row],[Cook cost estimator]]/Dietary_Sample[[#This Row],[Cook Hours]])</f>
        <v>11.855124841377606</v>
      </c>
      <c r="N84" s="12">
        <f>VLOOKUP(A84,'Estimator data 120523'!$A:$F,5,FALSE)</f>
        <v>566599</v>
      </c>
      <c r="O84" s="12">
        <f>VLOOKUP($A84,'SAS Data'!$1:$1048576,MATCH(O$1,'SAS Data'!$3:$3,0),FALSE)</f>
        <v>51320</v>
      </c>
      <c r="P84" s="13">
        <f>+Dietary_Sample[[#This Row],[Cost Estimator]]/Dietary_Sample[[#This Row],[Diet Hrsn]]</f>
        <v>11.040510522213562</v>
      </c>
      <c r="Q84" s="10">
        <f>COUNTIFS('Dietary Detail'!$R:$R,$A84,'Dietary Detail'!$U:$U,RIGHT(Q$1,4))</f>
        <v>13</v>
      </c>
      <c r="R84" s="10">
        <f>COUNTIFS('Dietary Detail'!$R:$R,$A84,'Dietary Detail'!$U:$U,RIGHT(R$1,4))</f>
        <v>14</v>
      </c>
      <c r="S84" s="10">
        <f>+Dietary_Sample[[#This Row],[Employee count Sample Data Aide]]+Dietary_Sample[[#This Row],[Employee count Sample Data Cook]]</f>
        <v>27</v>
      </c>
      <c r="T84" s="13">
        <v>14.249883567342771</v>
      </c>
      <c r="U84" s="13">
        <v>20.552551692809896</v>
      </c>
      <c r="V84" s="13">
        <v>15.994930666283611</v>
      </c>
      <c r="W84" s="13">
        <v>16.076287064037519</v>
      </c>
      <c r="X84" s="13">
        <v>16</v>
      </c>
      <c r="Y84" s="13">
        <v>23</v>
      </c>
      <c r="Z84" s="13">
        <v>18.65763476755863</v>
      </c>
      <c r="AA84" s="13">
        <v>18.496033652077355</v>
      </c>
      <c r="AB84" s="13">
        <f>IF(AND(Dietary_Sample[[#This Row],[Aide median]]=0,Dietary_Sample[[#This Row],[Cook median]]=0),0,IF(Dietary_Sample[[#This Row],[Aide median]]=0,1,Dietary_Sample[[#This Row],[Cook median]]/Dietary_Sample[[#This Row],[Aide median]]))</f>
        <v>1.1664717501331747</v>
      </c>
      <c r="AC84" s="13">
        <f>IF(AND(Dietary_Sample[[#This Row],[Aide average]]=0,Dietary_Sample[[#This Row],[Cook average]]=0),0,IF(Dietary_Sample[[#This Row],[Aide average]]=0,1,Dietary_Sample[[#This Row],[Cook average]]/Dietary_Sample[[#This Row],[Aide average]]))</f>
        <v>1.1505165078479336</v>
      </c>
      <c r="AD84" s="37">
        <f>COUNTIFS('Dietary Detail'!$R:$R,$A84,'Dietary Detail'!$T:$T,"&lt;"&amp;V84,'Dietary Detail'!$U:$U,RIGHT(AD$1,4))</f>
        <v>6</v>
      </c>
      <c r="AE84" s="37">
        <f>COUNTIFS('Dietary Detail'!$R:$R,$A84,'Dietary Detail'!$T:$T,"&lt;"&amp;W84,'Dietary Detail'!$U:$U,RIGHT(AE$1,4))</f>
        <v>11</v>
      </c>
      <c r="AF84" s="37">
        <f>COUNTIFS('Dietary Detail'!$R:$R,$A84,'Dietary Detail'!$T:$T,"&lt;"&amp;$BG$3,'Dietary Detail'!$U:$U,RIGHT(AF$1,4))</f>
        <v>13</v>
      </c>
      <c r="AG84" s="37">
        <f>COUNTIFS('Dietary Detail'!$R:$R,$A84,'Dietary Detail'!$T:$T,"&lt;"&amp;$BG$4,'Dietary Detail'!$U:$U,RIGHT(AG$1,4))</f>
        <v>11</v>
      </c>
      <c r="AH84" s="37">
        <f>COUNTIFS('Dietary Detail'!$R:$R,$A84,'Dietary Detail'!$T:$T,"&lt;"&amp;$BG$5,'Dietary Detail'!$U:$U,RIGHT(AH$1,4))</f>
        <v>11</v>
      </c>
      <c r="AI84" s="37">
        <f>COUNTIFS('Dietary Detail'!$R:$R,$A84,'Dietary Detail'!$T:$T,"&lt;"&amp;Z84,'Dietary Detail'!$U:$U,RIGHT(AI$1,4))</f>
        <v>7</v>
      </c>
      <c r="AJ84" s="37">
        <f>COUNTIFS('Dietary Detail'!$R:$R,$A84,'Dietary Detail'!$T:$T,"&lt;"&amp;AA84,'Dietary Detail'!$U:$U,RIGHT(AJ$1,4))</f>
        <v>6</v>
      </c>
      <c r="AK84" s="37">
        <f>COUNTIFS('Dietary Detail'!$R:$R,$A84,'Dietary Detail'!$T:$T,"&lt;"&amp;$BH$3,'Dietary Detail'!$U:$U,RIGHT(AK$1,4))</f>
        <v>14</v>
      </c>
      <c r="AL84" s="37">
        <f>COUNTIFS('Dietary Detail'!$R:$R,$A84,'Dietary Detail'!$T:$T,"&lt;"&amp;$BH$4,'Dietary Detail'!$U:$U,RIGHT(AL$1,4))</f>
        <v>11</v>
      </c>
      <c r="AM84" s="37">
        <f>COUNTIFS('Dietary Detail'!$R:$R,$A84,'Dietary Detail'!$T:$T,"&lt;"&amp;$BH$5,'Dietary Detail'!$U:$U,RIGHT(AM$1,4))</f>
        <v>11</v>
      </c>
      <c r="AN84" s="12">
        <f>+Dietary_Sample[[#This Row],[Aide median]]*Dietary_Sample[[#This Row],[Aide Hours]]</f>
        <v>395228.81271547306</v>
      </c>
      <c r="AO84" s="12">
        <f>+Dietary_Sample[[#This Row],[Aide average]]*Dietary_Sample[[#This Row],[Aide Hours]]</f>
        <v>397239.09917197295</v>
      </c>
      <c r="AP84" s="12">
        <f>+Dietary_Sample[[#This Row],[Cook median]]*Dietary_Sample[[#This Row],[Cook Hours]]</f>
        <v>496486.57139983418</v>
      </c>
      <c r="AQ84" s="12">
        <f>+Dietary_Sample[[#This Row],[Cook average]]*Dietary_Sample[[#This Row],[Cook Hours]]</f>
        <v>492186.30586461246</v>
      </c>
      <c r="AR84" s="12">
        <f>+Dietary_Sample[[#This Row],[Est average Aide wage cost]]+Dietary_Sample[[#This Row],[Est average Cook wage cost]]</f>
        <v>889425.40503658541</v>
      </c>
      <c r="AS84" s="12">
        <f>+Dietary_Sample[[#This Row],[Est average Aide wage cost]]+Dietary_Sample[[#This Row],[Est average Cook wage cost]]</f>
        <v>889425.40503658541</v>
      </c>
      <c r="AT84" s="14">
        <f>IF(Dietary_Sample[[#This Row],[Aide cost estimator]]=0,0,Dietary_Sample[[#This Row],[Est median Aide wage cost ]]/Dietary_Sample[[#This Row],[Aide cost estimator]])</f>
        <v>1.5738033143639634</v>
      </c>
      <c r="AU84" s="14">
        <f>IF(Dietary_Sample[[#This Row],[Aide cost estimator]]=0,0,Dietary_Sample[[#This Row],[Est average Aide wage cost]]/Dietary_Sample[[#This Row],[Aide cost estimator]])</f>
        <v>1.581808286132907</v>
      </c>
      <c r="AV84" s="14">
        <f>IF(Dietary_Sample[[#This Row],[Cook cost estimator]]=0,0,Dietary_Sample[[#This Row],[Est median Cook wage cost]]/Dietary_Sample[[#This Row],[Cook cost estimator]])</f>
        <v>1.5738033143639631</v>
      </c>
      <c r="AW84" s="14">
        <f>IF(Dietary_Sample[[#This Row],[Cook cost estimator]]=0,0,Dietary_Sample[[#This Row],[Est average Cook wage cost]]/Dietary_Sample[[#This Row],[Cook cost estimator]])</f>
        <v>1.5601719846526771</v>
      </c>
      <c r="AX84" s="14">
        <f>IF(Dietary_Sample[[#This Row],[Aide median]]=0,0,Dietary_Sample[[#This Row],[Aide min]]/Dietary_Sample[[#This Row],[Aide median]])</f>
        <v>0.89089998979368512</v>
      </c>
      <c r="AY84" s="14">
        <f>IF(Dietary_Sample[[#This Row],[Aide median]]=0,0,Dietary_Sample[[#This Row],[Aide max]]/Dietary_Sample[[#This Row],[Aide median]])</f>
        <v>1.2849415931594805</v>
      </c>
      <c r="AZ84" s="14">
        <f>IF(Dietary_Sample[[#This Row],[Cook median]]=0,0,Dietary_Sample[[#This Row],[Cook min]]/Dietary_Sample[[#This Row],[Cook median]])</f>
        <v>0.85755778796894178</v>
      </c>
      <c r="BA84" s="14">
        <f>IF(Dietary_Sample[[#This Row],[Cook median]]=0,0,Dietary_Sample[[#This Row],[Cook max]]/Dietary_Sample[[#This Row],[Cook median]])</f>
        <v>1.2327393202053538</v>
      </c>
      <c r="BB84" s="12">
        <f>VLOOKUP(A84,Summary!$1:$1048576,2,FALSE)</f>
        <v>3</v>
      </c>
    </row>
    <row r="85" spans="1:54" x14ac:dyDescent="0.55000000000000004">
      <c r="A85" s="10">
        <v>926</v>
      </c>
      <c r="B85" s="10" t="s">
        <v>54</v>
      </c>
      <c r="C85" s="10">
        <f>VLOOKUP($A85,'SAS Data'!$1:$1048576,MATCH(C$1,'SAS Data'!$3:$3,0),FALSE)</f>
        <v>8</v>
      </c>
      <c r="D85" s="10">
        <f>VLOOKUP($A85,'SAS Data'!$1:$1048576,MATCH(D$1,'SAS Data'!$3:$3,0),FALSE)</f>
        <v>1</v>
      </c>
      <c r="E85" s="10">
        <f t="shared" si="2"/>
        <v>9</v>
      </c>
      <c r="F85" s="11">
        <f>VLOOKUP($A85,'SAS Data'!$1:$1048576,MATCH(F$1,'SAS Data'!$3:$3,0),FALSE)</f>
        <v>21.921894357472688</v>
      </c>
      <c r="G85" s="12">
        <f>+Dietary_Sample[[#This Row],[Diet Cph]]*Dietary_Sample[[#This Row],[Diet Hrsn]]</f>
        <v>389289</v>
      </c>
      <c r="H85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192528.67185154045</v>
      </c>
      <c r="I85" s="17">
        <f>+Dietary_Sample[[#This Row],[Employee count Sample Data Aide]]/Dietary_Sample[[#This Row],[Total aide &amp; Cook]]*Dietary_Sample[[#This Row],[Diet Hrsn]]</f>
        <v>9865.5555555555566</v>
      </c>
      <c r="J85" s="13">
        <f>IF(Dietary_Sample[[#This Row],[Aide Hours]]=0,0,Dietary_Sample[[#This Row],[Aide cost estimator]]/Dietary_Sample[[#This Row],[Aide Hours]])</f>
        <v>19.515238728053429</v>
      </c>
      <c r="K85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196760.32814845958</v>
      </c>
      <c r="L85" s="17">
        <f>+Dietary_Sample[[#This Row],[Employee count Sample Data Cook]]/Dietary_Sample[[#This Row],[Total aide &amp; Cook]]*Dietary_Sample[[#This Row],[Diet Hrsn]]</f>
        <v>7892.4444444444443</v>
      </c>
      <c r="M85" s="13">
        <f>IF(Dietary_Sample[[#This Row],[Cook Hours]]=0,0,Dietary_Sample[[#This Row],[Cook cost estimator]]/Dietary_Sample[[#This Row],[Cook Hours]])</f>
        <v>24.930213894246766</v>
      </c>
      <c r="N85" s="12">
        <f>VLOOKUP(A85,'Estimator data 120523'!$A:$F,5,FALSE)</f>
        <v>389289</v>
      </c>
      <c r="O85" s="12">
        <f>VLOOKUP($A85,'SAS Data'!$1:$1048576,MATCH(O$1,'SAS Data'!$3:$3,0),FALSE)</f>
        <v>17758</v>
      </c>
      <c r="P85" s="13">
        <f>+Dietary_Sample[[#This Row],[Cost Estimator]]/Dietary_Sample[[#This Row],[Diet Hrsn]]</f>
        <v>21.921894357472688</v>
      </c>
      <c r="Q85" s="10">
        <f>COUNTIFS('Dietary Detail'!$R:$R,$A85,'Dietary Detail'!$U:$U,RIGHT(Q$1,4))</f>
        <v>5</v>
      </c>
      <c r="R85" s="10">
        <f>COUNTIFS('Dietary Detail'!$R:$R,$A85,'Dietary Detail'!$U:$U,RIGHT(R$1,4))</f>
        <v>4</v>
      </c>
      <c r="S85" s="10">
        <f>+Dietary_Sample[[#This Row],[Employee count Sample Data Aide]]+Dietary_Sample[[#This Row],[Employee count Sample Data Cook]]</f>
        <v>9</v>
      </c>
      <c r="T85" s="13">
        <v>16.149999999999999</v>
      </c>
      <c r="U85" s="13">
        <v>17.22</v>
      </c>
      <c r="V85" s="13">
        <v>16.47</v>
      </c>
      <c r="W85" s="13">
        <v>16.533999999999999</v>
      </c>
      <c r="X85" s="13">
        <v>19.28</v>
      </c>
      <c r="Y85" s="13">
        <v>23.3</v>
      </c>
      <c r="Z85" s="13">
        <v>21.04</v>
      </c>
      <c r="AA85" s="13">
        <v>21.164999999999999</v>
      </c>
      <c r="AB85" s="13">
        <f>IF(AND(Dietary_Sample[[#This Row],[Aide median]]=0,Dietary_Sample[[#This Row],[Cook median]]=0),0,IF(Dietary_Sample[[#This Row],[Aide median]]=0,1,Dietary_Sample[[#This Row],[Cook median]]/Dietary_Sample[[#This Row],[Aide median]]))</f>
        <v>1.2774741955069824</v>
      </c>
      <c r="AC85" s="13">
        <f>IF(AND(Dietary_Sample[[#This Row],[Aide average]]=0,Dietary_Sample[[#This Row],[Cook average]]=0),0,IF(Dietary_Sample[[#This Row],[Aide average]]=0,1,Dietary_Sample[[#This Row],[Cook average]]/Dietary_Sample[[#This Row],[Aide average]]))</f>
        <v>1.2800895125196565</v>
      </c>
      <c r="AD85" s="37">
        <f>COUNTIFS('Dietary Detail'!$R:$R,$A85,'Dietary Detail'!$T:$T,"&lt;"&amp;V85,'Dietary Detail'!$U:$U,RIGHT(AD$1,4))</f>
        <v>2</v>
      </c>
      <c r="AE85" s="37">
        <f>COUNTIFS('Dietary Detail'!$R:$R,$A85,'Dietary Detail'!$T:$T,"&lt;"&amp;W85,'Dietary Detail'!$U:$U,RIGHT(AE$1,4))</f>
        <v>4</v>
      </c>
      <c r="AF85" s="37">
        <f>COUNTIFS('Dietary Detail'!$R:$R,$A85,'Dietary Detail'!$T:$T,"&lt;"&amp;$BG$3,'Dietary Detail'!$U:$U,RIGHT(AF$1,4))</f>
        <v>5</v>
      </c>
      <c r="AG85" s="37">
        <f>COUNTIFS('Dietary Detail'!$R:$R,$A85,'Dietary Detail'!$T:$T,"&lt;"&amp;$BG$4,'Dietary Detail'!$U:$U,RIGHT(AG$1,4))</f>
        <v>1</v>
      </c>
      <c r="AH85" s="37">
        <f>COUNTIFS('Dietary Detail'!$R:$R,$A85,'Dietary Detail'!$T:$T,"&lt;"&amp;$BG$5,'Dietary Detail'!$U:$U,RIGHT(AH$1,4))</f>
        <v>4</v>
      </c>
      <c r="AI85" s="37">
        <f>COUNTIFS('Dietary Detail'!$R:$R,$A85,'Dietary Detail'!$T:$T,"&lt;"&amp;Z85,'Dietary Detail'!$U:$U,RIGHT(AI$1,4))</f>
        <v>2</v>
      </c>
      <c r="AJ85" s="37">
        <f>COUNTIFS('Dietary Detail'!$R:$R,$A85,'Dietary Detail'!$T:$T,"&lt;"&amp;AA85,'Dietary Detail'!$U:$U,RIGHT(AJ$1,4))</f>
        <v>2</v>
      </c>
      <c r="AK85" s="37">
        <f>COUNTIFS('Dietary Detail'!$R:$R,$A85,'Dietary Detail'!$T:$T,"&lt;"&amp;$BH$3,'Dietary Detail'!$U:$U,RIGHT(AK$1,4))</f>
        <v>4</v>
      </c>
      <c r="AL85" s="37">
        <f>COUNTIFS('Dietary Detail'!$R:$R,$A85,'Dietary Detail'!$T:$T,"&lt;"&amp;$BH$4,'Dietary Detail'!$U:$U,RIGHT(AL$1,4))</f>
        <v>1</v>
      </c>
      <c r="AM85" s="37">
        <f>COUNTIFS('Dietary Detail'!$R:$R,$A85,'Dietary Detail'!$T:$T,"&lt;"&amp;$BH$5,'Dietary Detail'!$U:$U,RIGHT(AM$1,4))</f>
        <v>1</v>
      </c>
      <c r="AN85" s="12">
        <f>+Dietary_Sample[[#This Row],[Aide median]]*Dietary_Sample[[#This Row],[Aide Hours]]</f>
        <v>162485.70000000001</v>
      </c>
      <c r="AO85" s="12">
        <f>+Dietary_Sample[[#This Row],[Aide average]]*Dietary_Sample[[#This Row],[Aide Hours]]</f>
        <v>163117.09555555557</v>
      </c>
      <c r="AP85" s="12">
        <f>+Dietary_Sample[[#This Row],[Cook median]]*Dietary_Sample[[#This Row],[Cook Hours]]</f>
        <v>166057.03111111111</v>
      </c>
      <c r="AQ85" s="12">
        <f>+Dietary_Sample[[#This Row],[Cook average]]*Dietary_Sample[[#This Row],[Cook Hours]]</f>
        <v>167043.58666666667</v>
      </c>
      <c r="AR85" s="12">
        <f>+Dietary_Sample[[#This Row],[Est average Aide wage cost]]+Dietary_Sample[[#This Row],[Est average Cook wage cost]]</f>
        <v>330160.68222222221</v>
      </c>
      <c r="AS85" s="12">
        <f>+Dietary_Sample[[#This Row],[Est average Aide wage cost]]+Dietary_Sample[[#This Row],[Est average Cook wage cost]]</f>
        <v>330160.68222222221</v>
      </c>
      <c r="AT85" s="14">
        <f>IF(Dietary_Sample[[#This Row],[Aide cost estimator]]=0,0,Dietary_Sample[[#This Row],[Est median Aide wage cost ]]/Dietary_Sample[[#This Row],[Aide cost estimator]])</f>
        <v>0.84395585570388876</v>
      </c>
      <c r="AU85" s="14">
        <f>IF(Dietary_Sample[[#This Row],[Aide cost estimator]]=0,0,Dietary_Sample[[#This Row],[Est average Aide wage cost]]/Dietary_Sample[[#This Row],[Aide cost estimator]])</f>
        <v>0.84723534415349699</v>
      </c>
      <c r="AV85" s="14">
        <f>IF(Dietary_Sample[[#This Row],[Cook cost estimator]]=0,0,Dietary_Sample[[#This Row],[Est median Cook wage cost]]/Dietary_Sample[[#This Row],[Cook cost estimator]])</f>
        <v>0.84395585570388854</v>
      </c>
      <c r="AW85" s="14">
        <f>IF(Dietary_Sample[[#This Row],[Cook cost estimator]]=0,0,Dietary_Sample[[#This Row],[Est average Cook wage cost]]/Dietary_Sample[[#This Row],[Cook cost estimator]])</f>
        <v>0.84896985199490504</v>
      </c>
      <c r="AX85" s="14">
        <f>IF(Dietary_Sample[[#This Row],[Aide median]]=0,0,Dietary_Sample[[#This Row],[Aide min]]/Dietary_Sample[[#This Row],[Aide median]])</f>
        <v>0.98057073466909528</v>
      </c>
      <c r="AY85" s="14">
        <f>IF(Dietary_Sample[[#This Row],[Aide median]]=0,0,Dietary_Sample[[#This Row],[Aide max]]/Dietary_Sample[[#This Row],[Aide median]])</f>
        <v>1.0455373406193078</v>
      </c>
      <c r="AZ85" s="14">
        <f>IF(Dietary_Sample[[#This Row],[Cook median]]=0,0,Dietary_Sample[[#This Row],[Cook min]]/Dietary_Sample[[#This Row],[Cook median]])</f>
        <v>0.91634980988593162</v>
      </c>
      <c r="BA85" s="14">
        <f>IF(Dietary_Sample[[#This Row],[Cook median]]=0,0,Dietary_Sample[[#This Row],[Cook max]]/Dietary_Sample[[#This Row],[Cook median]])</f>
        <v>1.1074144486692017</v>
      </c>
      <c r="BB85" s="12">
        <f>VLOOKUP(A85,Summary!$1:$1048576,2,FALSE)</f>
        <v>3</v>
      </c>
    </row>
    <row r="86" spans="1:54" x14ac:dyDescent="0.55000000000000004">
      <c r="A86" s="10">
        <v>928</v>
      </c>
      <c r="B86" s="10" t="s">
        <v>54</v>
      </c>
      <c r="C86" s="10">
        <f>VLOOKUP($A86,'SAS Data'!$1:$1048576,MATCH(C$1,'SAS Data'!$3:$3,0),FALSE)</f>
        <v>3</v>
      </c>
      <c r="D86" s="10">
        <f>VLOOKUP($A86,'SAS Data'!$1:$1048576,MATCH(D$1,'SAS Data'!$3:$3,0),FALSE)</f>
        <v>3</v>
      </c>
      <c r="E86" s="10">
        <f t="shared" si="2"/>
        <v>6</v>
      </c>
      <c r="F86" s="11">
        <f>VLOOKUP($A86,'SAS Data'!$1:$1048576,MATCH(F$1,'SAS Data'!$3:$3,0),FALSE)</f>
        <v>18.348417773405476</v>
      </c>
      <c r="G86" s="12">
        <f>+Dietary_Sample[[#This Row],[Diet Cph]]*Dietary_Sample[[#This Row],[Diet Hrsn]]</f>
        <v>111907</v>
      </c>
      <c r="H86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64047.402515723268</v>
      </c>
      <c r="I86" s="17">
        <f>+Dietary_Sample[[#This Row],[Employee count Sample Data Aide]]/Dietary_Sample[[#This Row],[Total aide &amp; Cook]]*Dietary_Sample[[#This Row],[Diet Hrsn]]</f>
        <v>4066</v>
      </c>
      <c r="J86" s="13">
        <f>IF(Dietary_Sample[[#This Row],[Aide Hours]]=0,0,Dietary_Sample[[#This Row],[Aide cost estimator]]/Dietary_Sample[[#This Row],[Aide Hours]])</f>
        <v>15.751943560187719</v>
      </c>
      <c r="K86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47859.597484276732</v>
      </c>
      <c r="L86" s="17">
        <f>+Dietary_Sample[[#This Row],[Employee count Sample Data Cook]]/Dietary_Sample[[#This Row],[Total aide &amp; Cook]]*Dietary_Sample[[#This Row],[Diet Hrsn]]</f>
        <v>2033</v>
      </c>
      <c r="M86" s="13">
        <f>IF(Dietary_Sample[[#This Row],[Cook Hours]]=0,0,Dietary_Sample[[#This Row],[Cook cost estimator]]/Dietary_Sample[[#This Row],[Cook Hours]])</f>
        <v>23.54136619984099</v>
      </c>
      <c r="N86" s="12">
        <f>VLOOKUP(A86,'Estimator data 120523'!$A:$F,5,FALSE)</f>
        <v>111907</v>
      </c>
      <c r="O86" s="12">
        <f>VLOOKUP($A86,'SAS Data'!$1:$1048576,MATCH(O$1,'SAS Data'!$3:$3,0),FALSE)</f>
        <v>6099</v>
      </c>
      <c r="P86" s="13">
        <f>+Dietary_Sample[[#This Row],[Cost Estimator]]/Dietary_Sample[[#This Row],[Diet Hrsn]]</f>
        <v>18.348417773405476</v>
      </c>
      <c r="Q86" s="10">
        <f>COUNTIFS('Dietary Detail'!$R:$R,$A86,'Dietary Detail'!$U:$U,RIGHT(Q$1,4))</f>
        <v>6</v>
      </c>
      <c r="R86" s="10">
        <f>COUNTIFS('Dietary Detail'!$R:$R,$A86,'Dietary Detail'!$U:$U,RIGHT(R$1,4))</f>
        <v>3</v>
      </c>
      <c r="S86" s="10">
        <f>+Dietary_Sample[[#This Row],[Employee count Sample Data Aide]]+Dietary_Sample[[#This Row],[Employee count Sample Data Cook]]</f>
        <v>9</v>
      </c>
      <c r="T86" s="13">
        <v>10.5</v>
      </c>
      <c r="U86" s="13">
        <v>15</v>
      </c>
      <c r="V86" s="13">
        <v>11.375</v>
      </c>
      <c r="W86" s="13">
        <v>11.875</v>
      </c>
      <c r="X86" s="13">
        <v>16</v>
      </c>
      <c r="Y86" s="13">
        <v>19.149999999999999</v>
      </c>
      <c r="Z86" s="13">
        <v>17</v>
      </c>
      <c r="AA86" s="13">
        <v>17.383333333333333</v>
      </c>
      <c r="AB86" s="13">
        <f>IF(AND(Dietary_Sample[[#This Row],[Aide median]]=0,Dietary_Sample[[#This Row],[Cook median]]=0),0,IF(Dietary_Sample[[#This Row],[Aide median]]=0,1,Dietary_Sample[[#This Row],[Cook median]]/Dietary_Sample[[#This Row],[Aide median]]))</f>
        <v>1.4945054945054945</v>
      </c>
      <c r="AC86" s="13">
        <f>IF(AND(Dietary_Sample[[#This Row],[Aide average]]=0,Dietary_Sample[[#This Row],[Cook average]]=0),0,IF(Dietary_Sample[[#This Row],[Aide average]]=0,1,Dietary_Sample[[#This Row],[Cook average]]/Dietary_Sample[[#This Row],[Aide average]]))</f>
        <v>1.4638596491228071</v>
      </c>
      <c r="AD86" s="37">
        <f>COUNTIFS('Dietary Detail'!$R:$R,$A86,'Dietary Detail'!$T:$T,"&lt;"&amp;V86,'Dietary Detail'!$U:$U,RIGHT(AD$1,4))</f>
        <v>3</v>
      </c>
      <c r="AE86" s="37">
        <f>COUNTIFS('Dietary Detail'!$R:$R,$A86,'Dietary Detail'!$T:$T,"&lt;"&amp;W86,'Dietary Detail'!$U:$U,RIGHT(AE$1,4))</f>
        <v>4</v>
      </c>
      <c r="AF86" s="37">
        <f>COUNTIFS('Dietary Detail'!$R:$R,$A86,'Dietary Detail'!$T:$T,"&lt;"&amp;$BG$3,'Dietary Detail'!$U:$U,RIGHT(AF$1,4))</f>
        <v>6</v>
      </c>
      <c r="AG86" s="37">
        <f>COUNTIFS('Dietary Detail'!$R:$R,$A86,'Dietary Detail'!$T:$T,"&lt;"&amp;$BG$4,'Dietary Detail'!$U:$U,RIGHT(AG$1,4))</f>
        <v>6</v>
      </c>
      <c r="AH86" s="37">
        <f>COUNTIFS('Dietary Detail'!$R:$R,$A86,'Dietary Detail'!$T:$T,"&lt;"&amp;$BG$5,'Dietary Detail'!$U:$U,RIGHT(AH$1,4))</f>
        <v>6</v>
      </c>
      <c r="AI86" s="37">
        <f>COUNTIFS('Dietary Detail'!$R:$R,$A86,'Dietary Detail'!$T:$T,"&lt;"&amp;Z86,'Dietary Detail'!$U:$U,RIGHT(AI$1,4))</f>
        <v>1</v>
      </c>
      <c r="AJ86" s="37">
        <f>COUNTIFS('Dietary Detail'!$R:$R,$A86,'Dietary Detail'!$T:$T,"&lt;"&amp;AA86,'Dietary Detail'!$U:$U,RIGHT(AJ$1,4))</f>
        <v>2</v>
      </c>
      <c r="AK86" s="37">
        <f>COUNTIFS('Dietary Detail'!$R:$R,$A86,'Dietary Detail'!$T:$T,"&lt;"&amp;$BH$3,'Dietary Detail'!$U:$U,RIGHT(AK$1,4))</f>
        <v>3</v>
      </c>
      <c r="AL86" s="37">
        <f>COUNTIFS('Dietary Detail'!$R:$R,$A86,'Dietary Detail'!$T:$T,"&lt;"&amp;$BH$4,'Dietary Detail'!$U:$U,RIGHT(AL$1,4))</f>
        <v>3</v>
      </c>
      <c r="AM86" s="37">
        <f>COUNTIFS('Dietary Detail'!$R:$R,$A86,'Dietary Detail'!$T:$T,"&lt;"&amp;$BH$5,'Dietary Detail'!$U:$U,RIGHT(AM$1,4))</f>
        <v>3</v>
      </c>
      <c r="AN86" s="12">
        <f>+Dietary_Sample[[#This Row],[Aide median]]*Dietary_Sample[[#This Row],[Aide Hours]]</f>
        <v>46250.75</v>
      </c>
      <c r="AO86" s="12">
        <f>+Dietary_Sample[[#This Row],[Aide average]]*Dietary_Sample[[#This Row],[Aide Hours]]</f>
        <v>48283.75</v>
      </c>
      <c r="AP86" s="12">
        <f>+Dietary_Sample[[#This Row],[Cook median]]*Dietary_Sample[[#This Row],[Cook Hours]]</f>
        <v>34561</v>
      </c>
      <c r="AQ86" s="12">
        <f>+Dietary_Sample[[#This Row],[Cook average]]*Dietary_Sample[[#This Row],[Cook Hours]]</f>
        <v>35340.316666666666</v>
      </c>
      <c r="AR86" s="12">
        <f>+Dietary_Sample[[#This Row],[Est average Aide wage cost]]+Dietary_Sample[[#This Row],[Est average Cook wage cost]]</f>
        <v>83624.066666666666</v>
      </c>
      <c r="AS86" s="12">
        <f>+Dietary_Sample[[#This Row],[Est average Aide wage cost]]+Dietary_Sample[[#This Row],[Est average Cook wage cost]]</f>
        <v>83624.066666666666</v>
      </c>
      <c r="AT86" s="14">
        <f>IF(Dietary_Sample[[#This Row],[Aide cost estimator]]=0,0,Dietary_Sample[[#This Row],[Est median Aide wage cost ]]/Dietary_Sample[[#This Row],[Aide cost estimator]])</f>
        <v>0.72213311052927875</v>
      </c>
      <c r="AU86" s="14">
        <f>IF(Dietary_Sample[[#This Row],[Aide cost estimator]]=0,0,Dietary_Sample[[#This Row],[Est average Aide wage cost]]/Dietary_Sample[[#This Row],[Aide cost estimator]])</f>
        <v>0.75387522527781858</v>
      </c>
      <c r="AV86" s="14">
        <f>IF(Dietary_Sample[[#This Row],[Cook cost estimator]]=0,0,Dietary_Sample[[#This Row],[Est median Cook wage cost]]/Dietary_Sample[[#This Row],[Cook cost estimator]])</f>
        <v>0.72213311052927875</v>
      </c>
      <c r="AW86" s="14">
        <f>IF(Dietary_Sample[[#This Row],[Cook cost estimator]]=0,0,Dietary_Sample[[#This Row],[Est average Cook wage cost]]/Dietary_Sample[[#This Row],[Cook cost estimator]])</f>
        <v>0.73841650419807614</v>
      </c>
      <c r="AX86" s="14">
        <f>IF(Dietary_Sample[[#This Row],[Aide median]]=0,0,Dietary_Sample[[#This Row],[Aide min]]/Dietary_Sample[[#This Row],[Aide median]])</f>
        <v>0.92307692307692313</v>
      </c>
      <c r="AY86" s="14">
        <f>IF(Dietary_Sample[[#This Row],[Aide median]]=0,0,Dietary_Sample[[#This Row],[Aide max]]/Dietary_Sample[[#This Row],[Aide median]])</f>
        <v>1.3186813186813187</v>
      </c>
      <c r="AZ86" s="14">
        <f>IF(Dietary_Sample[[#This Row],[Cook median]]=0,0,Dietary_Sample[[#This Row],[Cook min]]/Dietary_Sample[[#This Row],[Cook median]])</f>
        <v>0.94117647058823528</v>
      </c>
      <c r="BA86" s="14">
        <f>IF(Dietary_Sample[[#This Row],[Cook median]]=0,0,Dietary_Sample[[#This Row],[Cook max]]/Dietary_Sample[[#This Row],[Cook median]])</f>
        <v>1.1264705882352941</v>
      </c>
      <c r="BB86" s="12">
        <f>VLOOKUP(A86,Summary!$1:$1048576,2,FALSE)</f>
        <v>1</v>
      </c>
    </row>
    <row r="87" spans="1:54" x14ac:dyDescent="0.55000000000000004">
      <c r="A87" s="10">
        <v>951</v>
      </c>
      <c r="B87" s="10" t="s">
        <v>54</v>
      </c>
      <c r="C87" s="10">
        <f>VLOOKUP($A87,'SAS Data'!$1:$1048576,MATCH(C$1,'SAS Data'!$3:$3,0),FALSE)</f>
        <v>3</v>
      </c>
      <c r="D87" s="10">
        <f>VLOOKUP($A87,'SAS Data'!$1:$1048576,MATCH(D$1,'SAS Data'!$3:$3,0),FALSE)</f>
        <v>16</v>
      </c>
      <c r="E87" s="10">
        <f t="shared" si="2"/>
        <v>19</v>
      </c>
      <c r="F87" s="11">
        <f>VLOOKUP($A87,'SAS Data'!$1:$1048576,MATCH(F$1,'SAS Data'!$3:$3,0),FALSE)</f>
        <v>19.011912832929781</v>
      </c>
      <c r="G87" s="12">
        <f>+Dietary_Sample[[#This Row],[Diet Cph]]*Dietary_Sample[[#This Row],[Diet Hrsn]]</f>
        <v>392596</v>
      </c>
      <c r="H87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241967.76236023175</v>
      </c>
      <c r="I87" s="17">
        <f>+Dietary_Sample[[#This Row],[Employee count Sample Data Aide]]/Dietary_Sample[[#This Row],[Total aide &amp; Cook]]*Dietary_Sample[[#This Row],[Diet Hrsn]]</f>
        <v>13467.391304347826</v>
      </c>
      <c r="J87" s="13">
        <f>IF(Dietary_Sample[[#This Row],[Aide Hours]]=0,0,Dietary_Sample[[#This Row],[Aide cost estimator]]/Dietary_Sample[[#This Row],[Aide Hours]])</f>
        <v>17.966936349589442</v>
      </c>
      <c r="K87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150628.23763976828</v>
      </c>
      <c r="L87" s="17">
        <f>+Dietary_Sample[[#This Row],[Employee count Sample Data Cook]]/Dietary_Sample[[#This Row],[Total aide &amp; Cook]]*Dietary_Sample[[#This Row],[Diet Hrsn]]</f>
        <v>7182.608695652174</v>
      </c>
      <c r="M87" s="13">
        <f>IF(Dietary_Sample[[#This Row],[Cook Hours]]=0,0,Dietary_Sample[[#This Row],[Cook cost estimator]]/Dietary_Sample[[#This Row],[Cook Hours]])</f>
        <v>20.971243739192921</v>
      </c>
      <c r="N87" s="12">
        <f>VLOOKUP(A87,'Estimator data 120523'!$A:$F,5,FALSE)</f>
        <v>392596</v>
      </c>
      <c r="O87" s="12">
        <f>VLOOKUP($A87,'SAS Data'!$1:$1048576,MATCH(O$1,'SAS Data'!$3:$3,0),FALSE)</f>
        <v>20650</v>
      </c>
      <c r="P87" s="13">
        <f>+Dietary_Sample[[#This Row],[Cost Estimator]]/Dietary_Sample[[#This Row],[Diet Hrsn]]</f>
        <v>19.011912832929781</v>
      </c>
      <c r="Q87" s="10">
        <f>COUNTIFS('Dietary Detail'!$R:$R,$A87,'Dietary Detail'!$U:$U,RIGHT(Q$1,4))</f>
        <v>15</v>
      </c>
      <c r="R87" s="10">
        <f>COUNTIFS('Dietary Detail'!$R:$R,$A87,'Dietary Detail'!$U:$U,RIGHT(R$1,4))</f>
        <v>8</v>
      </c>
      <c r="S87" s="10">
        <f>+Dietary_Sample[[#This Row],[Employee count Sample Data Aide]]+Dietary_Sample[[#This Row],[Employee count Sample Data Cook]]</f>
        <v>23</v>
      </c>
      <c r="T87" s="13">
        <v>15</v>
      </c>
      <c r="U87" s="13">
        <v>16.350000000000001</v>
      </c>
      <c r="V87" s="13">
        <v>15.25</v>
      </c>
      <c r="W87" s="13">
        <v>15.293333333333333</v>
      </c>
      <c r="X87" s="13">
        <v>17</v>
      </c>
      <c r="Y87" s="13">
        <v>20</v>
      </c>
      <c r="Z87" s="13">
        <v>17.799999999999997</v>
      </c>
      <c r="AA87" s="13">
        <v>18.15625</v>
      </c>
      <c r="AB87" s="13">
        <f>IF(AND(Dietary_Sample[[#This Row],[Aide median]]=0,Dietary_Sample[[#This Row],[Cook median]]=0),0,IF(Dietary_Sample[[#This Row],[Aide median]]=0,1,Dietary_Sample[[#This Row],[Cook median]]/Dietary_Sample[[#This Row],[Aide median]]))</f>
        <v>1.1672131147540983</v>
      </c>
      <c r="AC87" s="13">
        <f>IF(AND(Dietary_Sample[[#This Row],[Aide average]]=0,Dietary_Sample[[#This Row],[Cook average]]=0),0,IF(Dietary_Sample[[#This Row],[Aide average]]=0,1,Dietary_Sample[[#This Row],[Cook average]]/Dietary_Sample[[#This Row],[Aide average]]))</f>
        <v>1.1872003051438536</v>
      </c>
      <c r="AD87" s="37">
        <f>COUNTIFS('Dietary Detail'!$R:$R,$A87,'Dietary Detail'!$T:$T,"&lt;"&amp;V87,'Dietary Detail'!$U:$U,RIGHT(AD$1,4))</f>
        <v>5</v>
      </c>
      <c r="AE87" s="37">
        <f>COUNTIFS('Dietary Detail'!$R:$R,$A87,'Dietary Detail'!$T:$T,"&lt;"&amp;W87,'Dietary Detail'!$U:$U,RIGHT(AE$1,4))</f>
        <v>10</v>
      </c>
      <c r="AF87" s="37">
        <f>COUNTIFS('Dietary Detail'!$R:$R,$A87,'Dietary Detail'!$T:$T,"&lt;"&amp;$BG$3,'Dietary Detail'!$U:$U,RIGHT(AF$1,4))</f>
        <v>15</v>
      </c>
      <c r="AG87" s="37">
        <f>COUNTIFS('Dietary Detail'!$R:$R,$A87,'Dietary Detail'!$T:$T,"&lt;"&amp;$BG$4,'Dietary Detail'!$U:$U,RIGHT(AG$1,4))</f>
        <v>14</v>
      </c>
      <c r="AH87" s="37">
        <f>COUNTIFS('Dietary Detail'!$R:$R,$A87,'Dietary Detail'!$T:$T,"&lt;"&amp;$BG$5,'Dietary Detail'!$U:$U,RIGHT(AH$1,4))</f>
        <v>15</v>
      </c>
      <c r="AI87" s="37">
        <f>COUNTIFS('Dietary Detail'!$R:$R,$A87,'Dietary Detail'!$T:$T,"&lt;"&amp;Z87,'Dietary Detail'!$U:$U,RIGHT(AI$1,4))</f>
        <v>4</v>
      </c>
      <c r="AJ87" s="37">
        <f>COUNTIFS('Dietary Detail'!$R:$R,$A87,'Dietary Detail'!$T:$T,"&lt;"&amp;AA87,'Dietary Detail'!$U:$U,RIGHT(AJ$1,4))</f>
        <v>6</v>
      </c>
      <c r="AK87" s="37">
        <f>COUNTIFS('Dietary Detail'!$R:$R,$A87,'Dietary Detail'!$T:$T,"&lt;"&amp;$BH$3,'Dietary Detail'!$U:$U,RIGHT(AK$1,4))</f>
        <v>8</v>
      </c>
      <c r="AL87" s="37">
        <f>COUNTIFS('Dietary Detail'!$R:$R,$A87,'Dietary Detail'!$T:$T,"&lt;"&amp;$BH$4,'Dietary Detail'!$U:$U,RIGHT(AL$1,4))</f>
        <v>6</v>
      </c>
      <c r="AM87" s="37">
        <f>COUNTIFS('Dietary Detail'!$R:$R,$A87,'Dietary Detail'!$T:$T,"&lt;"&amp;$BH$5,'Dietary Detail'!$U:$U,RIGHT(AM$1,4))</f>
        <v>6</v>
      </c>
      <c r="AN87" s="12">
        <f>+Dietary_Sample[[#This Row],[Aide median]]*Dietary_Sample[[#This Row],[Aide Hours]]</f>
        <v>205377.71739130435</v>
      </c>
      <c r="AO87" s="12">
        <f>+Dietary_Sample[[#This Row],[Aide average]]*Dietary_Sample[[#This Row],[Aide Hours]]</f>
        <v>205961.30434782608</v>
      </c>
      <c r="AP87" s="12">
        <f>+Dietary_Sample[[#This Row],[Cook median]]*Dietary_Sample[[#This Row],[Cook Hours]]</f>
        <v>127850.43478260867</v>
      </c>
      <c r="AQ87" s="12">
        <f>+Dietary_Sample[[#This Row],[Cook average]]*Dietary_Sample[[#This Row],[Cook Hours]]</f>
        <v>130409.23913043478</v>
      </c>
      <c r="AR87" s="12">
        <f>+Dietary_Sample[[#This Row],[Est average Aide wage cost]]+Dietary_Sample[[#This Row],[Est average Cook wage cost]]</f>
        <v>336370.54347826086</v>
      </c>
      <c r="AS87" s="12">
        <f>+Dietary_Sample[[#This Row],[Est average Aide wage cost]]+Dietary_Sample[[#This Row],[Est average Cook wage cost]]</f>
        <v>336370.54347826086</v>
      </c>
      <c r="AT87" s="14">
        <f>IF(Dietary_Sample[[#This Row],[Aide cost estimator]]=0,0,Dietary_Sample[[#This Row],[Est median Aide wage cost ]]/Dietary_Sample[[#This Row],[Aide cost estimator]])</f>
        <v>0.8487813227182982</v>
      </c>
      <c r="AU87" s="14">
        <f>IF(Dietary_Sample[[#This Row],[Aide cost estimator]]=0,0,Dietary_Sample[[#This Row],[Est average Aide wage cost]]/Dietary_Sample[[#This Row],[Aide cost estimator]])</f>
        <v>0.8511931603566234</v>
      </c>
      <c r="AV87" s="14">
        <f>IF(Dietary_Sample[[#This Row],[Cook cost estimator]]=0,0,Dietary_Sample[[#This Row],[Est median Cook wage cost]]/Dietary_Sample[[#This Row],[Cook cost estimator]])</f>
        <v>0.8487813227182982</v>
      </c>
      <c r="AW87" s="14">
        <f>IF(Dietary_Sample[[#This Row],[Cook cost estimator]]=0,0,Dietary_Sample[[#This Row],[Est average Cook wage cost]]/Dietary_Sample[[#This Row],[Cook cost estimator]])</f>
        <v>0.86576887025865756</v>
      </c>
      <c r="AX87" s="14">
        <f>IF(Dietary_Sample[[#This Row],[Aide median]]=0,0,Dietary_Sample[[#This Row],[Aide min]]/Dietary_Sample[[#This Row],[Aide median]])</f>
        <v>0.98360655737704916</v>
      </c>
      <c r="AY87" s="14">
        <f>IF(Dietary_Sample[[#This Row],[Aide median]]=0,0,Dietary_Sample[[#This Row],[Aide max]]/Dietary_Sample[[#This Row],[Aide median]])</f>
        <v>1.0721311475409836</v>
      </c>
      <c r="AZ87" s="14">
        <f>IF(Dietary_Sample[[#This Row],[Cook median]]=0,0,Dietary_Sample[[#This Row],[Cook min]]/Dietary_Sample[[#This Row],[Cook median]])</f>
        <v>0.95505617977528101</v>
      </c>
      <c r="BA87" s="14">
        <f>IF(Dietary_Sample[[#This Row],[Cook median]]=0,0,Dietary_Sample[[#This Row],[Cook max]]/Dietary_Sample[[#This Row],[Cook median]])</f>
        <v>1.1235955056179776</v>
      </c>
      <c r="BB87" s="12">
        <f>VLOOKUP(A87,Summary!$1:$1048576,2,FALSE)</f>
        <v>2</v>
      </c>
    </row>
    <row r="88" spans="1:54" x14ac:dyDescent="0.55000000000000004">
      <c r="A88" s="10">
        <v>959</v>
      </c>
      <c r="B88" s="10" t="s">
        <v>54</v>
      </c>
      <c r="C88" s="10">
        <f>VLOOKUP($A88,'SAS Data'!$1:$1048576,MATCH(C$1,'SAS Data'!$3:$3,0),FALSE)</f>
        <v>0</v>
      </c>
      <c r="D88" s="10">
        <f>VLOOKUP($A88,'SAS Data'!$1:$1048576,MATCH(D$1,'SAS Data'!$3:$3,0),FALSE)</f>
        <v>0</v>
      </c>
      <c r="E88" s="10">
        <f t="shared" si="2"/>
        <v>0</v>
      </c>
      <c r="F88" s="11">
        <f>VLOOKUP($A88,'SAS Data'!$1:$1048576,MATCH(F$1,'SAS Data'!$3:$3,0),FALSE)</f>
        <v>0</v>
      </c>
      <c r="G88" s="12">
        <f>+Dietary_Sample[[#This Row],[Diet Cph]]*Dietary_Sample[[#This Row],[Diet Hrsn]]</f>
        <v>0</v>
      </c>
      <c r="H88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186207.36396442979</v>
      </c>
      <c r="I88" s="17">
        <f>+Dietary_Sample[[#This Row],[Employee count Sample Data Aide]]/Dietary_Sample[[#This Row],[Total aide &amp; Cook]]*Dietary_Sample[[#This Row],[Diet Hrsn]]</f>
        <v>12769.533333333333</v>
      </c>
      <c r="J88" s="13">
        <f>IF(Dietary_Sample[[#This Row],[Aide Hours]]=0,0,Dietary_Sample[[#This Row],[Aide cost estimator]]/Dietary_Sample[[#This Row],[Aide Hours]])</f>
        <v>14.582158885819096</v>
      </c>
      <c r="K88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80873.243758187571</v>
      </c>
      <c r="L88" s="17">
        <f>+Dietary_Sample[[#This Row],[Employee count Sample Data Cook]]/Dietary_Sample[[#This Row],[Total aide &amp; Cook]]*Dietary_Sample[[#This Row],[Diet Hrsn]]</f>
        <v>4643.4666666666662</v>
      </c>
      <c r="M88" s="13">
        <f>IF(Dietary_Sample[[#This Row],[Cook Hours]]=0,0,Dietary_Sample[[#This Row],[Cook cost estimator]]/Dietary_Sample[[#This Row],[Cook Hours]])</f>
        <v>17.416566019250183</v>
      </c>
      <c r="N88" s="12">
        <f>VLOOKUP(A88,'Estimator data 120523'!$A:$F,5,FALSE)</f>
        <v>267080.60772261734</v>
      </c>
      <c r="O88" s="12">
        <f>VLOOKUP($A88,'SAS Data'!$1:$1048576,MATCH(O$1,'SAS Data'!$3:$3,0),FALSE)</f>
        <v>17413</v>
      </c>
      <c r="P88" s="13">
        <f>+Dietary_Sample[[#This Row],[Cost Estimator]]/Dietary_Sample[[#This Row],[Diet Hrsn]]</f>
        <v>15.338000788067383</v>
      </c>
      <c r="Q88" s="10">
        <f>COUNTIFS('Dietary Detail'!$R:$R,$A88,'Dietary Detail'!$U:$U,RIGHT(Q$1,4))</f>
        <v>11</v>
      </c>
      <c r="R88" s="10">
        <f>COUNTIFS('Dietary Detail'!$R:$R,$A88,'Dietary Detail'!$U:$U,RIGHT(R$1,4))</f>
        <v>4</v>
      </c>
      <c r="S88" s="10">
        <f>+Dietary_Sample[[#This Row],[Employee count Sample Data Aide]]+Dietary_Sample[[#This Row],[Employee count Sample Data Cook]]</f>
        <v>15</v>
      </c>
      <c r="T88" s="13">
        <v>13.69</v>
      </c>
      <c r="U88" s="13">
        <v>17.88</v>
      </c>
      <c r="V88" s="13">
        <v>16</v>
      </c>
      <c r="W88" s="13">
        <v>16.09181818181818</v>
      </c>
      <c r="X88" s="13">
        <v>17.5</v>
      </c>
      <c r="Y88" s="13">
        <v>21</v>
      </c>
      <c r="Z88" s="13">
        <v>19.11</v>
      </c>
      <c r="AA88" s="13">
        <v>19.18</v>
      </c>
      <c r="AB88" s="13">
        <f>IF(AND(Dietary_Sample[[#This Row],[Aide median]]=0,Dietary_Sample[[#This Row],[Cook median]]=0),0,IF(Dietary_Sample[[#This Row],[Aide median]]=0,1,Dietary_Sample[[#This Row],[Cook median]]/Dietary_Sample[[#This Row],[Aide median]]))</f>
        <v>1.194375</v>
      </c>
      <c r="AC88" s="13">
        <f>IF(AND(Dietary_Sample[[#This Row],[Aide average]]=0,Dietary_Sample[[#This Row],[Cook average]]=0),0,IF(Dietary_Sample[[#This Row],[Aide average]]=0,1,Dietary_Sample[[#This Row],[Cook average]]/Dietary_Sample[[#This Row],[Aide average]]))</f>
        <v>1.1919100615784419</v>
      </c>
      <c r="AD88" s="37">
        <f>COUNTIFS('Dietary Detail'!$R:$R,$A88,'Dietary Detail'!$T:$T,"&lt;"&amp;V88,'Dietary Detail'!$U:$U,RIGHT(AD$1,4))</f>
        <v>1</v>
      </c>
      <c r="AE88" s="37">
        <f>COUNTIFS('Dietary Detail'!$R:$R,$A88,'Dietary Detail'!$T:$T,"&lt;"&amp;W88,'Dietary Detail'!$U:$U,RIGHT(AE$1,4))</f>
        <v>8</v>
      </c>
      <c r="AF88" s="37">
        <f>COUNTIFS('Dietary Detail'!$R:$R,$A88,'Dietary Detail'!$T:$T,"&lt;"&amp;$BG$3,'Dietary Detail'!$U:$U,RIGHT(AF$1,4))</f>
        <v>11</v>
      </c>
      <c r="AG88" s="37">
        <f>COUNTIFS('Dietary Detail'!$R:$R,$A88,'Dietary Detail'!$T:$T,"&lt;"&amp;$BG$4,'Dietary Detail'!$U:$U,RIGHT(AG$1,4))</f>
        <v>8</v>
      </c>
      <c r="AH88" s="37">
        <f>COUNTIFS('Dietary Detail'!$R:$R,$A88,'Dietary Detail'!$T:$T,"&lt;"&amp;$BG$5,'Dietary Detail'!$U:$U,RIGHT(AH$1,4))</f>
        <v>9</v>
      </c>
      <c r="AI88" s="37">
        <f>COUNTIFS('Dietary Detail'!$R:$R,$A88,'Dietary Detail'!$T:$T,"&lt;"&amp;Z88,'Dietary Detail'!$U:$U,RIGHT(AI$1,4))</f>
        <v>2</v>
      </c>
      <c r="AJ88" s="37">
        <f>COUNTIFS('Dietary Detail'!$R:$R,$A88,'Dietary Detail'!$T:$T,"&lt;"&amp;AA88,'Dietary Detail'!$U:$U,RIGHT(AJ$1,4))</f>
        <v>2</v>
      </c>
      <c r="AK88" s="37">
        <f>COUNTIFS('Dietary Detail'!$R:$R,$A88,'Dietary Detail'!$T:$T,"&lt;"&amp;$BH$3,'Dietary Detail'!$U:$U,RIGHT(AK$1,4))</f>
        <v>4</v>
      </c>
      <c r="AL88" s="37">
        <f>COUNTIFS('Dietary Detail'!$R:$R,$A88,'Dietary Detail'!$T:$T,"&lt;"&amp;$BH$4,'Dietary Detail'!$U:$U,RIGHT(AL$1,4))</f>
        <v>2</v>
      </c>
      <c r="AM88" s="37">
        <f>COUNTIFS('Dietary Detail'!$R:$R,$A88,'Dietary Detail'!$T:$T,"&lt;"&amp;$BH$5,'Dietary Detail'!$U:$U,RIGHT(AM$1,4))</f>
        <v>2</v>
      </c>
      <c r="AN88" s="12">
        <f>+Dietary_Sample[[#This Row],[Aide median]]*Dietary_Sample[[#This Row],[Aide Hours]]</f>
        <v>204312.53333333333</v>
      </c>
      <c r="AO88" s="12">
        <f>+Dietary_Sample[[#This Row],[Aide average]]*Dietary_Sample[[#This Row],[Aide Hours]]</f>
        <v>205485.00866666663</v>
      </c>
      <c r="AP88" s="12">
        <f>+Dietary_Sample[[#This Row],[Cook median]]*Dietary_Sample[[#This Row],[Cook Hours]]</f>
        <v>88736.647999999986</v>
      </c>
      <c r="AQ88" s="12">
        <f>+Dietary_Sample[[#This Row],[Cook average]]*Dietary_Sample[[#This Row],[Cook Hours]]</f>
        <v>89061.690666666662</v>
      </c>
      <c r="AR88" s="12">
        <f>+Dietary_Sample[[#This Row],[Est average Aide wage cost]]+Dietary_Sample[[#This Row],[Est average Cook wage cost]]</f>
        <v>294546.69933333329</v>
      </c>
      <c r="AS88" s="12">
        <f>+Dietary_Sample[[#This Row],[Est average Aide wage cost]]+Dietary_Sample[[#This Row],[Est average Cook wage cost]]</f>
        <v>294546.69933333329</v>
      </c>
      <c r="AT88" s="14">
        <f>IF(Dietary_Sample[[#This Row],[Aide cost estimator]]=0,0,Dietary_Sample[[#This Row],[Est median Aide wage cost ]]/Dietary_Sample[[#This Row],[Aide cost estimator]])</f>
        <v>1.0972312210614938</v>
      </c>
      <c r="AU88" s="14">
        <f>IF(Dietary_Sample[[#This Row],[Aide cost estimator]]=0,0,Dietary_Sample[[#This Row],[Est average Aide wage cost]]/Dietary_Sample[[#This Row],[Aide cost estimator]])</f>
        <v>1.1035278320459945</v>
      </c>
      <c r="AV88" s="14">
        <f>IF(Dietary_Sample[[#This Row],[Cook cost estimator]]=0,0,Dietary_Sample[[#This Row],[Est median Cook wage cost]]/Dietary_Sample[[#This Row],[Cook cost estimator]])</f>
        <v>1.0972312210614938</v>
      </c>
      <c r="AW88" s="14">
        <f>IF(Dietary_Sample[[#This Row],[Cook cost estimator]]=0,0,Dietary_Sample[[#This Row],[Est average Cook wage cost]]/Dietary_Sample[[#This Row],[Cook cost estimator]])</f>
        <v>1.1012503830434042</v>
      </c>
      <c r="AX88" s="14">
        <f>IF(Dietary_Sample[[#This Row],[Aide median]]=0,0,Dietary_Sample[[#This Row],[Aide min]]/Dietary_Sample[[#This Row],[Aide median]])</f>
        <v>0.85562499999999997</v>
      </c>
      <c r="AY88" s="14">
        <f>IF(Dietary_Sample[[#This Row],[Aide median]]=0,0,Dietary_Sample[[#This Row],[Aide max]]/Dietary_Sample[[#This Row],[Aide median]])</f>
        <v>1.1174999999999999</v>
      </c>
      <c r="AZ88" s="14">
        <f>IF(Dietary_Sample[[#This Row],[Cook median]]=0,0,Dietary_Sample[[#This Row],[Cook min]]/Dietary_Sample[[#This Row],[Cook median]])</f>
        <v>0.91575091575091583</v>
      </c>
      <c r="BA88" s="14">
        <f>IF(Dietary_Sample[[#This Row],[Cook median]]=0,0,Dietary_Sample[[#This Row],[Cook max]]/Dietary_Sample[[#This Row],[Cook median]])</f>
        <v>1.098901098901099</v>
      </c>
      <c r="BB88" s="12">
        <f>VLOOKUP(A88,Summary!$1:$1048576,2,FALSE)</f>
        <v>2</v>
      </c>
    </row>
    <row r="89" spans="1:54" x14ac:dyDescent="0.55000000000000004">
      <c r="A89" s="10">
        <v>962</v>
      </c>
      <c r="B89" s="10" t="s">
        <v>54</v>
      </c>
      <c r="C89" s="10">
        <f>VLOOKUP($A89,'SAS Data'!$1:$1048576,MATCH(C$1,'SAS Data'!$3:$3,0),FALSE)</f>
        <v>5</v>
      </c>
      <c r="D89" s="10">
        <f>VLOOKUP($A89,'SAS Data'!$1:$1048576,MATCH(D$1,'SAS Data'!$3:$3,0),FALSE)</f>
        <v>6</v>
      </c>
      <c r="E89" s="10">
        <f t="shared" si="2"/>
        <v>11</v>
      </c>
      <c r="F89" s="11">
        <f>VLOOKUP($A89,'SAS Data'!$1:$1048576,MATCH(F$1,'SAS Data'!$3:$3,0),FALSE)</f>
        <v>18.688091679123069</v>
      </c>
      <c r="G89" s="12">
        <f>+Dietary_Sample[[#This Row],[Diet Cph]]*Dietary_Sample[[#This Row],[Diet Hrsn]]</f>
        <v>225042</v>
      </c>
      <c r="H89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138756.9202024134</v>
      </c>
      <c r="I89" s="17">
        <f>+Dietary_Sample[[#This Row],[Employee count Sample Data Aide]]/Dietary_Sample[[#This Row],[Total aide &amp; Cook]]*Dietary_Sample[[#This Row],[Diet Hrsn]]</f>
        <v>7741.2857142857147</v>
      </c>
      <c r="J89" s="13">
        <f>IF(Dietary_Sample[[#This Row],[Aide Hours]]=0,0,Dietary_Sample[[#This Row],[Aide cost estimator]]/Dietary_Sample[[#This Row],[Aide Hours]])</f>
        <v>17.924273218123489</v>
      </c>
      <c r="K89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86285.079797586601</v>
      </c>
      <c r="L89" s="17">
        <f>+Dietary_Sample[[#This Row],[Employee count Sample Data Cook]]/Dietary_Sample[[#This Row],[Total aide &amp; Cook]]*Dietary_Sample[[#This Row],[Diet Hrsn]]</f>
        <v>4300.7142857142862</v>
      </c>
      <c r="M89" s="13">
        <f>IF(Dietary_Sample[[#This Row],[Cook Hours]]=0,0,Dietary_Sample[[#This Row],[Cook cost estimator]]/Dietary_Sample[[#This Row],[Cook Hours]])</f>
        <v>20.062964908922311</v>
      </c>
      <c r="N89" s="12">
        <f>VLOOKUP(A89,'Estimator data 120523'!$A:$F,5,FALSE)</f>
        <v>225042</v>
      </c>
      <c r="O89" s="12">
        <f>VLOOKUP($A89,'SAS Data'!$1:$1048576,MATCH(O$1,'SAS Data'!$3:$3,0),FALSE)</f>
        <v>12042</v>
      </c>
      <c r="P89" s="13">
        <f>+Dietary_Sample[[#This Row],[Cost Estimator]]/Dietary_Sample[[#This Row],[Diet Hrsn]]</f>
        <v>18.688091679123069</v>
      </c>
      <c r="Q89" s="10">
        <f>COUNTIFS('Dietary Detail'!$R:$R,$A89,'Dietary Detail'!$U:$U,RIGHT(Q$1,4))</f>
        <v>9</v>
      </c>
      <c r="R89" s="10">
        <f>COUNTIFS('Dietary Detail'!$R:$R,$A89,'Dietary Detail'!$U:$U,RIGHT(R$1,4))</f>
        <v>5</v>
      </c>
      <c r="S89" s="10">
        <f>+Dietary_Sample[[#This Row],[Employee count Sample Data Aide]]+Dietary_Sample[[#This Row],[Employee count Sample Data Cook]]</f>
        <v>14</v>
      </c>
      <c r="T89" s="13">
        <v>15.6</v>
      </c>
      <c r="U89" s="13">
        <v>18.09</v>
      </c>
      <c r="V89" s="13">
        <v>17.600000000000001</v>
      </c>
      <c r="W89" s="13">
        <v>17.117777777777775</v>
      </c>
      <c r="X89" s="13">
        <v>18.39</v>
      </c>
      <c r="Y89" s="13">
        <v>20.5</v>
      </c>
      <c r="Z89" s="13">
        <v>19.7</v>
      </c>
      <c r="AA89" s="13">
        <v>19.598000000000003</v>
      </c>
      <c r="AB89" s="13">
        <f>IF(AND(Dietary_Sample[[#This Row],[Aide median]]=0,Dietary_Sample[[#This Row],[Cook median]]=0),0,IF(Dietary_Sample[[#This Row],[Aide median]]=0,1,Dietary_Sample[[#This Row],[Cook median]]/Dietary_Sample[[#This Row],[Aide median]]))</f>
        <v>1.1193181818181817</v>
      </c>
      <c r="AC89" s="13">
        <f>IF(AND(Dietary_Sample[[#This Row],[Aide average]]=0,Dietary_Sample[[#This Row],[Cook average]]=0),0,IF(Dietary_Sample[[#This Row],[Aide average]]=0,1,Dietary_Sample[[#This Row],[Cook average]]/Dietary_Sample[[#This Row],[Aide average]]))</f>
        <v>1.144891600675062</v>
      </c>
      <c r="AD89" s="37">
        <f>COUNTIFS('Dietary Detail'!$R:$R,$A89,'Dietary Detail'!$T:$T,"&lt;"&amp;V89,'Dietary Detail'!$U:$U,RIGHT(AD$1,4))</f>
        <v>4</v>
      </c>
      <c r="AE89" s="37">
        <f>COUNTIFS('Dietary Detail'!$R:$R,$A89,'Dietary Detail'!$T:$T,"&lt;"&amp;W89,'Dietary Detail'!$U:$U,RIGHT(AE$1,4))</f>
        <v>3</v>
      </c>
      <c r="AF89" s="37">
        <f>COUNTIFS('Dietary Detail'!$R:$R,$A89,'Dietary Detail'!$T:$T,"&lt;"&amp;$BG$3,'Dietary Detail'!$U:$U,RIGHT(AF$1,4))</f>
        <v>9</v>
      </c>
      <c r="AG89" s="37">
        <f>COUNTIFS('Dietary Detail'!$R:$R,$A89,'Dietary Detail'!$T:$T,"&lt;"&amp;$BG$4,'Dietary Detail'!$U:$U,RIGHT(AG$1,4))</f>
        <v>2</v>
      </c>
      <c r="AH89" s="37">
        <f>COUNTIFS('Dietary Detail'!$R:$R,$A89,'Dietary Detail'!$T:$T,"&lt;"&amp;$BG$5,'Dietary Detail'!$U:$U,RIGHT(AH$1,4))</f>
        <v>2</v>
      </c>
      <c r="AI89" s="37">
        <f>COUNTIFS('Dietary Detail'!$R:$R,$A89,'Dietary Detail'!$T:$T,"&lt;"&amp;Z89,'Dietary Detail'!$U:$U,RIGHT(AI$1,4))</f>
        <v>1</v>
      </c>
      <c r="AJ89" s="37">
        <f>COUNTIFS('Dietary Detail'!$R:$R,$A89,'Dietary Detail'!$T:$T,"&lt;"&amp;AA89,'Dietary Detail'!$U:$U,RIGHT(AJ$1,4))</f>
        <v>1</v>
      </c>
      <c r="AK89" s="37">
        <f>COUNTIFS('Dietary Detail'!$R:$R,$A89,'Dietary Detail'!$T:$T,"&lt;"&amp;$BH$3,'Dietary Detail'!$U:$U,RIGHT(AK$1,4))</f>
        <v>5</v>
      </c>
      <c r="AL89" s="37">
        <f>COUNTIFS('Dietary Detail'!$R:$R,$A89,'Dietary Detail'!$T:$T,"&lt;"&amp;$BH$4,'Dietary Detail'!$U:$U,RIGHT(AL$1,4))</f>
        <v>4</v>
      </c>
      <c r="AM89" s="37">
        <f>COUNTIFS('Dietary Detail'!$R:$R,$A89,'Dietary Detail'!$T:$T,"&lt;"&amp;$BH$5,'Dietary Detail'!$U:$U,RIGHT(AM$1,4))</f>
        <v>4</v>
      </c>
      <c r="AN89" s="12">
        <f>+Dietary_Sample[[#This Row],[Aide median]]*Dietary_Sample[[#This Row],[Aide Hours]]</f>
        <v>136246.62857142859</v>
      </c>
      <c r="AO89" s="12">
        <f>+Dietary_Sample[[#This Row],[Aide average]]*Dietary_Sample[[#This Row],[Aide Hours]]</f>
        <v>132513.60857142854</v>
      </c>
      <c r="AP89" s="12">
        <f>+Dietary_Sample[[#This Row],[Cook median]]*Dietary_Sample[[#This Row],[Cook Hours]]</f>
        <v>84724.071428571435</v>
      </c>
      <c r="AQ89" s="12">
        <f>+Dietary_Sample[[#This Row],[Cook average]]*Dietary_Sample[[#This Row],[Cook Hours]]</f>
        <v>84285.398571428595</v>
      </c>
      <c r="AR89" s="12">
        <f>+Dietary_Sample[[#This Row],[Est average Aide wage cost]]+Dietary_Sample[[#This Row],[Est average Cook wage cost]]</f>
        <v>216799.00714285712</v>
      </c>
      <c r="AS89" s="12">
        <f>+Dietary_Sample[[#This Row],[Est average Aide wage cost]]+Dietary_Sample[[#This Row],[Est average Cook wage cost]]</f>
        <v>216799.00714285712</v>
      </c>
      <c r="AT89" s="14">
        <f>IF(Dietary_Sample[[#This Row],[Aide cost estimator]]=0,0,Dietary_Sample[[#This Row],[Est median Aide wage cost ]]/Dietary_Sample[[#This Row],[Aide cost estimator]])</f>
        <v>0.98190871037406358</v>
      </c>
      <c r="AU89" s="14">
        <f>IF(Dietary_Sample[[#This Row],[Aide cost estimator]]=0,0,Dietary_Sample[[#This Row],[Est average Aide wage cost]]/Dietary_Sample[[#This Row],[Aide cost estimator]])</f>
        <v>0.95500540353679408</v>
      </c>
      <c r="AV89" s="14">
        <f>IF(Dietary_Sample[[#This Row],[Cook cost estimator]]=0,0,Dietary_Sample[[#This Row],[Est median Cook wage cost]]/Dietary_Sample[[#This Row],[Cook cost estimator]])</f>
        <v>0.98190871037406369</v>
      </c>
      <c r="AW89" s="14">
        <f>IF(Dietary_Sample[[#This Row],[Cook cost estimator]]=0,0,Dietary_Sample[[#This Row],[Est average Cook wage cost]]/Dietary_Sample[[#This Row],[Cook cost estimator]])</f>
        <v>0.97682471603608645</v>
      </c>
      <c r="AX89" s="14">
        <f>IF(Dietary_Sample[[#This Row],[Aide median]]=0,0,Dietary_Sample[[#This Row],[Aide min]]/Dietary_Sample[[#This Row],[Aide median]])</f>
        <v>0.88636363636363624</v>
      </c>
      <c r="AY89" s="14">
        <f>IF(Dietary_Sample[[#This Row],[Aide median]]=0,0,Dietary_Sample[[#This Row],[Aide max]]/Dietary_Sample[[#This Row],[Aide median]])</f>
        <v>1.0278409090909091</v>
      </c>
      <c r="AZ89" s="14">
        <f>IF(Dietary_Sample[[#This Row],[Cook median]]=0,0,Dietary_Sample[[#This Row],[Cook min]]/Dietary_Sample[[#This Row],[Cook median]])</f>
        <v>0.93350253807106609</v>
      </c>
      <c r="BA89" s="14">
        <f>IF(Dietary_Sample[[#This Row],[Cook median]]=0,0,Dietary_Sample[[#This Row],[Cook max]]/Dietary_Sample[[#This Row],[Cook median]])</f>
        <v>1.0406091370558377</v>
      </c>
      <c r="BB89" s="12">
        <f>VLOOKUP(A89,Summary!$1:$1048576,2,FALSE)</f>
        <v>2</v>
      </c>
    </row>
    <row r="90" spans="1:54" x14ac:dyDescent="0.55000000000000004">
      <c r="A90" s="10">
        <v>967</v>
      </c>
      <c r="B90" s="10" t="s">
        <v>54</v>
      </c>
      <c r="C90" s="10">
        <f>VLOOKUP($A90,'SAS Data'!$1:$1048576,MATCH(C$1,'SAS Data'!$3:$3,0),FALSE)</f>
        <v>5</v>
      </c>
      <c r="D90" s="10">
        <f>VLOOKUP($A90,'SAS Data'!$1:$1048576,MATCH(D$1,'SAS Data'!$3:$3,0),FALSE)</f>
        <v>1</v>
      </c>
      <c r="E90" s="10">
        <f t="shared" si="2"/>
        <v>6</v>
      </c>
      <c r="F90" s="11">
        <f>VLOOKUP($A90,'SAS Data'!$1:$1048576,MATCH(F$1,'SAS Data'!$3:$3,0),FALSE)</f>
        <v>22.846847730169625</v>
      </c>
      <c r="G90" s="12">
        <f>+Dietary_Sample[[#This Row],[Diet Cph]]*Dietary_Sample[[#This Row],[Diet Hrsn]]</f>
        <v>233015</v>
      </c>
      <c r="H90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95947.352941176461</v>
      </c>
      <c r="I90" s="17">
        <f>+Dietary_Sample[[#This Row],[Employee count Sample Data Aide]]/Dietary_Sample[[#This Row],[Total aide &amp; Cook]]*Dietary_Sample[[#This Row],[Diet Hrsn]]</f>
        <v>4371</v>
      </c>
      <c r="J90" s="13">
        <f>IF(Dietary_Sample[[#This Row],[Aide Hours]]=0,0,Dietary_Sample[[#This Row],[Aide cost estimator]]/Dietary_Sample[[#This Row],[Aide Hours]])</f>
        <v>21.950892917221793</v>
      </c>
      <c r="K90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137067.64705882352</v>
      </c>
      <c r="L90" s="17">
        <f>+Dietary_Sample[[#This Row],[Employee count Sample Data Cook]]/Dietary_Sample[[#This Row],[Total aide &amp; Cook]]*Dietary_Sample[[#This Row],[Diet Hrsn]]</f>
        <v>5828</v>
      </c>
      <c r="M90" s="13">
        <f>IF(Dietary_Sample[[#This Row],[Cook Hours]]=0,0,Dietary_Sample[[#This Row],[Cook cost estimator]]/Dietary_Sample[[#This Row],[Cook Hours]])</f>
        <v>23.518813839880494</v>
      </c>
      <c r="N90" s="12">
        <f>VLOOKUP(A90,'Estimator data 120523'!$A:$F,5,FALSE)</f>
        <v>233015</v>
      </c>
      <c r="O90" s="12">
        <f>VLOOKUP($A90,'SAS Data'!$1:$1048576,MATCH(O$1,'SAS Data'!$3:$3,0),FALSE)</f>
        <v>10199</v>
      </c>
      <c r="P90" s="13">
        <f>+Dietary_Sample[[#This Row],[Cost Estimator]]/Dietary_Sample[[#This Row],[Diet Hrsn]]</f>
        <v>22.846847730169625</v>
      </c>
      <c r="Q90" s="10">
        <f>COUNTIFS('Dietary Detail'!$R:$R,$A90,'Dietary Detail'!$U:$U,RIGHT(Q$1,4))</f>
        <v>3</v>
      </c>
      <c r="R90" s="10">
        <f>COUNTIFS('Dietary Detail'!$R:$R,$A90,'Dietary Detail'!$U:$U,RIGHT(R$1,4))</f>
        <v>4</v>
      </c>
      <c r="S90" s="10">
        <f>+Dietary_Sample[[#This Row],[Employee count Sample Data Aide]]+Dietary_Sample[[#This Row],[Employee count Sample Data Cook]]</f>
        <v>7</v>
      </c>
      <c r="T90" s="13">
        <v>16</v>
      </c>
      <c r="U90" s="13">
        <v>18</v>
      </c>
      <c r="V90" s="13">
        <v>17.5</v>
      </c>
      <c r="W90" s="13">
        <v>17.166666666666668</v>
      </c>
      <c r="X90" s="13">
        <v>18.5</v>
      </c>
      <c r="Y90" s="13">
        <v>20</v>
      </c>
      <c r="Z90" s="13">
        <v>18.75</v>
      </c>
      <c r="AA90" s="13">
        <v>19</v>
      </c>
      <c r="AB90" s="13">
        <f>IF(AND(Dietary_Sample[[#This Row],[Aide median]]=0,Dietary_Sample[[#This Row],[Cook median]]=0),0,IF(Dietary_Sample[[#This Row],[Aide median]]=0,1,Dietary_Sample[[#This Row],[Cook median]]/Dietary_Sample[[#This Row],[Aide median]]))</f>
        <v>1.0714285714285714</v>
      </c>
      <c r="AC90" s="13">
        <f>IF(AND(Dietary_Sample[[#This Row],[Aide average]]=0,Dietary_Sample[[#This Row],[Cook average]]=0),0,IF(Dietary_Sample[[#This Row],[Aide average]]=0,1,Dietary_Sample[[#This Row],[Cook average]]/Dietary_Sample[[#This Row],[Aide average]]))</f>
        <v>1.1067961165048543</v>
      </c>
      <c r="AD90" s="37">
        <f>COUNTIFS('Dietary Detail'!$R:$R,$A90,'Dietary Detail'!$T:$T,"&lt;"&amp;V90,'Dietary Detail'!$U:$U,RIGHT(AD$1,4))</f>
        <v>1</v>
      </c>
      <c r="AE90" s="37">
        <f>COUNTIFS('Dietary Detail'!$R:$R,$A90,'Dietary Detail'!$T:$T,"&lt;"&amp;W90,'Dietary Detail'!$U:$U,RIGHT(AE$1,4))</f>
        <v>1</v>
      </c>
      <c r="AF90" s="37">
        <f>COUNTIFS('Dietary Detail'!$R:$R,$A90,'Dietary Detail'!$T:$T,"&lt;"&amp;$BG$3,'Dietary Detail'!$U:$U,RIGHT(AF$1,4))</f>
        <v>3</v>
      </c>
      <c r="AG90" s="37">
        <f>COUNTIFS('Dietary Detail'!$R:$R,$A90,'Dietary Detail'!$T:$T,"&lt;"&amp;$BG$4,'Dietary Detail'!$U:$U,RIGHT(AG$1,4))</f>
        <v>1</v>
      </c>
      <c r="AH90" s="37">
        <f>COUNTIFS('Dietary Detail'!$R:$R,$A90,'Dietary Detail'!$T:$T,"&lt;"&amp;$BG$5,'Dietary Detail'!$U:$U,RIGHT(AH$1,4))</f>
        <v>1</v>
      </c>
      <c r="AI90" s="37">
        <f>COUNTIFS('Dietary Detail'!$R:$R,$A90,'Dietary Detail'!$T:$T,"&lt;"&amp;Z90,'Dietary Detail'!$U:$U,RIGHT(AI$1,4))</f>
        <v>2</v>
      </c>
      <c r="AJ90" s="37">
        <f>COUNTIFS('Dietary Detail'!$R:$R,$A90,'Dietary Detail'!$T:$T,"&lt;"&amp;AA90,'Dietary Detail'!$U:$U,RIGHT(AJ$1,4))</f>
        <v>2</v>
      </c>
      <c r="AK90" s="37">
        <f>COUNTIFS('Dietary Detail'!$R:$R,$A90,'Dietary Detail'!$T:$T,"&lt;"&amp;$BH$3,'Dietary Detail'!$U:$U,RIGHT(AK$1,4))</f>
        <v>4</v>
      </c>
      <c r="AL90" s="37">
        <f>COUNTIFS('Dietary Detail'!$R:$R,$A90,'Dietary Detail'!$T:$T,"&lt;"&amp;$BH$4,'Dietary Detail'!$U:$U,RIGHT(AL$1,4))</f>
        <v>3</v>
      </c>
      <c r="AM90" s="37">
        <f>COUNTIFS('Dietary Detail'!$R:$R,$A90,'Dietary Detail'!$T:$T,"&lt;"&amp;$BH$5,'Dietary Detail'!$U:$U,RIGHT(AM$1,4))</f>
        <v>3</v>
      </c>
      <c r="AN90" s="12">
        <f>+Dietary_Sample[[#This Row],[Aide median]]*Dietary_Sample[[#This Row],[Aide Hours]]</f>
        <v>76492.5</v>
      </c>
      <c r="AO90" s="12">
        <f>+Dietary_Sample[[#This Row],[Aide average]]*Dietary_Sample[[#This Row],[Aide Hours]]</f>
        <v>75035.5</v>
      </c>
      <c r="AP90" s="12">
        <f>+Dietary_Sample[[#This Row],[Cook median]]*Dietary_Sample[[#This Row],[Cook Hours]]</f>
        <v>109275</v>
      </c>
      <c r="AQ90" s="12">
        <f>+Dietary_Sample[[#This Row],[Cook average]]*Dietary_Sample[[#This Row],[Cook Hours]]</f>
        <v>110732</v>
      </c>
      <c r="AR90" s="12">
        <f>+Dietary_Sample[[#This Row],[Est average Aide wage cost]]+Dietary_Sample[[#This Row],[Est average Cook wage cost]]</f>
        <v>185767.5</v>
      </c>
      <c r="AS90" s="12">
        <f>+Dietary_Sample[[#This Row],[Est average Aide wage cost]]+Dietary_Sample[[#This Row],[Est average Cook wage cost]]</f>
        <v>185767.5</v>
      </c>
      <c r="AT90" s="14">
        <f>IF(Dietary_Sample[[#This Row],[Aide cost estimator]]=0,0,Dietary_Sample[[#This Row],[Est median Aide wage cost ]]/Dietary_Sample[[#This Row],[Aide cost estimator]])</f>
        <v>0.797234083642684</v>
      </c>
      <c r="AU90" s="14">
        <f>IF(Dietary_Sample[[#This Row],[Aide cost estimator]]=0,0,Dietary_Sample[[#This Row],[Est average Aide wage cost]]/Dietary_Sample[[#This Row],[Aide cost estimator]])</f>
        <v>0.78204867252568055</v>
      </c>
      <c r="AV90" s="14">
        <f>IF(Dietary_Sample[[#This Row],[Cook cost estimator]]=0,0,Dietary_Sample[[#This Row],[Est median Cook wage cost]]/Dietary_Sample[[#This Row],[Cook cost estimator]])</f>
        <v>0.797234083642684</v>
      </c>
      <c r="AW90" s="14">
        <f>IF(Dietary_Sample[[#This Row],[Cook cost estimator]]=0,0,Dietary_Sample[[#This Row],[Est average Cook wage cost]]/Dietary_Sample[[#This Row],[Cook cost estimator]])</f>
        <v>0.80786387142458638</v>
      </c>
      <c r="AX90" s="14">
        <f>IF(Dietary_Sample[[#This Row],[Aide median]]=0,0,Dietary_Sample[[#This Row],[Aide min]]/Dietary_Sample[[#This Row],[Aide median]])</f>
        <v>0.91428571428571426</v>
      </c>
      <c r="AY90" s="14">
        <f>IF(Dietary_Sample[[#This Row],[Aide median]]=0,0,Dietary_Sample[[#This Row],[Aide max]]/Dietary_Sample[[#This Row],[Aide median]])</f>
        <v>1.0285714285714285</v>
      </c>
      <c r="AZ90" s="14">
        <f>IF(Dietary_Sample[[#This Row],[Cook median]]=0,0,Dietary_Sample[[#This Row],[Cook min]]/Dietary_Sample[[#This Row],[Cook median]])</f>
        <v>0.98666666666666669</v>
      </c>
      <c r="BA90" s="14">
        <f>IF(Dietary_Sample[[#This Row],[Cook median]]=0,0,Dietary_Sample[[#This Row],[Cook max]]/Dietary_Sample[[#This Row],[Cook median]])</f>
        <v>1.0666666666666667</v>
      </c>
      <c r="BB90" s="12">
        <f>VLOOKUP(A90,Summary!$1:$1048576,2,FALSE)</f>
        <v>3</v>
      </c>
    </row>
    <row r="91" spans="1:54" x14ac:dyDescent="0.55000000000000004">
      <c r="A91" s="10">
        <v>984</v>
      </c>
      <c r="B91" s="10" t="s">
        <v>54</v>
      </c>
      <c r="C91" s="10">
        <f>VLOOKUP($A91,'SAS Data'!$1:$1048576,MATCH(C$1,'SAS Data'!$3:$3,0),FALSE)</f>
        <v>14</v>
      </c>
      <c r="D91" s="10">
        <f>VLOOKUP($A91,'SAS Data'!$1:$1048576,MATCH(D$1,'SAS Data'!$3:$3,0),FALSE)</f>
        <v>14</v>
      </c>
      <c r="E91" s="10">
        <f t="shared" si="2"/>
        <v>28</v>
      </c>
      <c r="F91" s="11">
        <f>VLOOKUP($A91,'SAS Data'!$1:$1048576,MATCH(F$1,'SAS Data'!$3:$3,0),FALSE)</f>
        <v>0</v>
      </c>
      <c r="G91" s="12">
        <f>+Dietary_Sample[[#This Row],[Diet Cph]]*Dietary_Sample[[#This Row],[Diet Hrsn]]</f>
        <v>0</v>
      </c>
      <c r="H91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389631.20477233123</v>
      </c>
      <c r="I91" s="17">
        <f>+Dietary_Sample[[#This Row],[Employee count Sample Data Aide]]/Dietary_Sample[[#This Row],[Total aide &amp; Cook]]*Dietary_Sample[[#This Row],[Diet Hrsn]]</f>
        <v>29135.615384615383</v>
      </c>
      <c r="J91" s="13">
        <f>IF(Dietary_Sample[[#This Row],[Aide Hours]]=0,0,Dietary_Sample[[#This Row],[Aide cost estimator]]/Dietary_Sample[[#This Row],[Aide Hours]])</f>
        <v>13.373021287824592</v>
      </c>
      <c r="K91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82030.035344242497</v>
      </c>
      <c r="L91" s="17">
        <f>+Dietary_Sample[[#This Row],[Employee count Sample Data Cook]]/Dietary_Sample[[#This Row],[Total aide &amp; Cook]]*Dietary_Sample[[#This Row],[Diet Hrsn]]</f>
        <v>5297.3846153846152</v>
      </c>
      <c r="M91" s="13">
        <f>IF(Dietary_Sample[[#This Row],[Cook Hours]]=0,0,Dietary_Sample[[#This Row],[Cook cost estimator]]/Dietary_Sample[[#This Row],[Cook Hours]])</f>
        <v>15.485006526807895</v>
      </c>
      <c r="N91" s="12">
        <f>VLOOKUP(A91,'Estimator data 120523'!$A:$F,5,FALSE)</f>
        <v>471661.24011657375</v>
      </c>
      <c r="O91" s="12">
        <f>VLOOKUP($A91,'SAS Data'!$1:$1048576,MATCH(O$1,'SAS Data'!$3:$3,0),FALSE)</f>
        <v>34433</v>
      </c>
      <c r="P91" s="13">
        <f>+Dietary_Sample[[#This Row],[Cost Estimator]]/Dietary_Sample[[#This Row],[Diet Hrsn]]</f>
        <v>13.697942093822023</v>
      </c>
      <c r="Q91" s="10">
        <f>COUNTIFS('Dietary Detail'!$R:$R,$A91,'Dietary Detail'!$U:$U,RIGHT(Q$1,4))</f>
        <v>22</v>
      </c>
      <c r="R91" s="10">
        <f>COUNTIFS('Dietary Detail'!$R:$R,$A91,'Dietary Detail'!$U:$U,RIGHT(R$1,4))</f>
        <v>4</v>
      </c>
      <c r="S91" s="10">
        <f>+Dietary_Sample[[#This Row],[Employee count Sample Data Aide]]+Dietary_Sample[[#This Row],[Employee count Sample Data Cook]]</f>
        <v>26</v>
      </c>
      <c r="T91" s="13">
        <v>15.45</v>
      </c>
      <c r="U91" s="13">
        <v>18.850000000000001</v>
      </c>
      <c r="V91" s="13">
        <v>15.45</v>
      </c>
      <c r="W91" s="13">
        <v>15.828181818181811</v>
      </c>
      <c r="X91" s="13">
        <v>17.22</v>
      </c>
      <c r="Y91" s="13">
        <v>20.5</v>
      </c>
      <c r="Z91" s="13">
        <v>17.89</v>
      </c>
      <c r="AA91" s="13">
        <v>18.375</v>
      </c>
      <c r="AB91" s="13">
        <f>IF(AND(Dietary_Sample[[#This Row],[Aide median]]=0,Dietary_Sample[[#This Row],[Cook median]]=0),0,IF(Dietary_Sample[[#This Row],[Aide median]]=0,1,Dietary_Sample[[#This Row],[Cook median]]/Dietary_Sample[[#This Row],[Aide median]]))</f>
        <v>1.1579288025889969</v>
      </c>
      <c r="AC91" s="13">
        <f>IF(AND(Dietary_Sample[[#This Row],[Aide average]]=0,Dietary_Sample[[#This Row],[Cook average]]=0),0,IF(Dietary_Sample[[#This Row],[Aide average]]=0,1,Dietary_Sample[[#This Row],[Cook average]]/Dietary_Sample[[#This Row],[Aide average]]))</f>
        <v>1.1609040261903401</v>
      </c>
      <c r="AD91" s="37">
        <f>COUNTIFS('Dietary Detail'!$R:$R,$A91,'Dietary Detail'!$T:$T,"&lt;"&amp;V91,'Dietary Detail'!$U:$U,RIGHT(AD$1,4))</f>
        <v>0</v>
      </c>
      <c r="AE91" s="37">
        <f>COUNTIFS('Dietary Detail'!$R:$R,$A91,'Dietary Detail'!$T:$T,"&lt;"&amp;W91,'Dietary Detail'!$U:$U,RIGHT(AE$1,4))</f>
        <v>17</v>
      </c>
      <c r="AF91" s="37">
        <f>COUNTIFS('Dietary Detail'!$R:$R,$A91,'Dietary Detail'!$T:$T,"&lt;"&amp;$BG$3,'Dietary Detail'!$U:$U,RIGHT(AF$1,4))</f>
        <v>22</v>
      </c>
      <c r="AG91" s="37">
        <f>COUNTIFS('Dietary Detail'!$R:$R,$A91,'Dietary Detail'!$T:$T,"&lt;"&amp;$BG$4,'Dietary Detail'!$U:$U,RIGHT(AG$1,4))</f>
        <v>19</v>
      </c>
      <c r="AH91" s="37">
        <f>COUNTIFS('Dietary Detail'!$R:$R,$A91,'Dietary Detail'!$T:$T,"&lt;"&amp;$BG$5,'Dietary Detail'!$U:$U,RIGHT(AH$1,4))</f>
        <v>19</v>
      </c>
      <c r="AI91" s="37">
        <f>COUNTIFS('Dietary Detail'!$R:$R,$A91,'Dietary Detail'!$T:$T,"&lt;"&amp;Z91,'Dietary Detail'!$U:$U,RIGHT(AI$1,4))</f>
        <v>2</v>
      </c>
      <c r="AJ91" s="37">
        <f>COUNTIFS('Dietary Detail'!$R:$R,$A91,'Dietary Detail'!$T:$T,"&lt;"&amp;AA91,'Dietary Detail'!$U:$U,RIGHT(AJ$1,4))</f>
        <v>2</v>
      </c>
      <c r="AK91" s="37">
        <f>COUNTIFS('Dietary Detail'!$R:$R,$A91,'Dietary Detail'!$T:$T,"&lt;"&amp;$BH$3,'Dietary Detail'!$U:$U,RIGHT(AK$1,4))</f>
        <v>4</v>
      </c>
      <c r="AL91" s="37">
        <f>COUNTIFS('Dietary Detail'!$R:$R,$A91,'Dietary Detail'!$T:$T,"&lt;"&amp;$BH$4,'Dietary Detail'!$U:$U,RIGHT(AL$1,4))</f>
        <v>3</v>
      </c>
      <c r="AM91" s="37">
        <f>COUNTIFS('Dietary Detail'!$R:$R,$A91,'Dietary Detail'!$T:$T,"&lt;"&amp;$BH$5,'Dietary Detail'!$U:$U,RIGHT(AM$1,4))</f>
        <v>3</v>
      </c>
      <c r="AN91" s="12">
        <f>+Dietary_Sample[[#This Row],[Aide median]]*Dietary_Sample[[#This Row],[Aide Hours]]</f>
        <v>450145.25769230764</v>
      </c>
      <c r="AO91" s="12">
        <f>+Dietary_Sample[[#This Row],[Aide average]]*Dietary_Sample[[#This Row],[Aide Hours]]</f>
        <v>461163.81769230746</v>
      </c>
      <c r="AP91" s="12">
        <f>+Dietary_Sample[[#This Row],[Cook median]]*Dietary_Sample[[#This Row],[Cook Hours]]</f>
        <v>94770.210769230776</v>
      </c>
      <c r="AQ91" s="12">
        <f>+Dietary_Sample[[#This Row],[Cook average]]*Dietary_Sample[[#This Row],[Cook Hours]]</f>
        <v>97339.442307692312</v>
      </c>
      <c r="AR91" s="12">
        <f>+Dietary_Sample[[#This Row],[Est average Aide wage cost]]+Dietary_Sample[[#This Row],[Est average Cook wage cost]]</f>
        <v>558503.25999999978</v>
      </c>
      <c r="AS91" s="12">
        <f>+Dietary_Sample[[#This Row],[Est average Aide wage cost]]+Dietary_Sample[[#This Row],[Est average Cook wage cost]]</f>
        <v>558503.25999999978</v>
      </c>
      <c r="AT91" s="14">
        <f>IF(Dietary_Sample[[#This Row],[Aide cost estimator]]=0,0,Dietary_Sample[[#This Row],[Est median Aide wage cost ]]/Dietary_Sample[[#This Row],[Aide cost estimator]])</f>
        <v>1.1553111049083862</v>
      </c>
      <c r="AU91" s="14">
        <f>IF(Dietary_Sample[[#This Row],[Aide cost estimator]]=0,0,Dietary_Sample[[#This Row],[Est average Aide wage cost]]/Dietary_Sample[[#This Row],[Aide cost estimator]])</f>
        <v>1.1835905647284439</v>
      </c>
      <c r="AV91" s="14">
        <f>IF(Dietary_Sample[[#This Row],[Cook cost estimator]]=0,0,Dietary_Sample[[#This Row],[Est median Cook wage cost]]/Dietary_Sample[[#This Row],[Cook cost estimator]])</f>
        <v>1.1553111049083862</v>
      </c>
      <c r="AW91" s="14">
        <f>IF(Dietary_Sample[[#This Row],[Cook cost estimator]]=0,0,Dietary_Sample[[#This Row],[Est average Cook wage cost]]/Dietary_Sample[[#This Row],[Cook cost estimator]])</f>
        <v>1.1866317245775069</v>
      </c>
      <c r="AX91" s="14">
        <f>IF(Dietary_Sample[[#This Row],[Aide median]]=0,0,Dietary_Sample[[#This Row],[Aide min]]/Dietary_Sample[[#This Row],[Aide median]])</f>
        <v>1</v>
      </c>
      <c r="AY91" s="14">
        <f>IF(Dietary_Sample[[#This Row],[Aide median]]=0,0,Dietary_Sample[[#This Row],[Aide max]]/Dietary_Sample[[#This Row],[Aide median]])</f>
        <v>1.2200647249190939</v>
      </c>
      <c r="AZ91" s="14">
        <f>IF(Dietary_Sample[[#This Row],[Cook median]]=0,0,Dietary_Sample[[#This Row],[Cook min]]/Dietary_Sample[[#This Row],[Cook median]])</f>
        <v>0.96254891000558962</v>
      </c>
      <c r="BA91" s="14">
        <f>IF(Dietary_Sample[[#This Row],[Cook median]]=0,0,Dietary_Sample[[#This Row],[Cook max]]/Dietary_Sample[[#This Row],[Cook median]])</f>
        <v>1.145891559530464</v>
      </c>
      <c r="BB91" s="12">
        <f>VLOOKUP(A91,Summary!$1:$1048576,2,FALSE)</f>
        <v>2</v>
      </c>
    </row>
    <row r="92" spans="1:54" x14ac:dyDescent="0.55000000000000004">
      <c r="A92" s="10">
        <v>997</v>
      </c>
      <c r="B92" s="10" t="s">
        <v>54</v>
      </c>
      <c r="C92" s="10">
        <f>VLOOKUP($A92,'SAS Data'!$1:$1048576,MATCH(C$1,'SAS Data'!$3:$3,0),FALSE)</f>
        <v>0</v>
      </c>
      <c r="D92" s="10">
        <f>VLOOKUP($A92,'SAS Data'!$1:$1048576,MATCH(D$1,'SAS Data'!$3:$3,0),FALSE)</f>
        <v>0</v>
      </c>
      <c r="E92" s="10">
        <f t="shared" si="2"/>
        <v>0</v>
      </c>
      <c r="F92" s="11">
        <f>VLOOKUP($A92,'SAS Data'!$1:$1048576,MATCH(F$1,'SAS Data'!$3:$3,0),FALSE)</f>
        <v>0</v>
      </c>
      <c r="G92" s="12">
        <f>+Dietary_Sample[[#This Row],[Diet Cph]]*Dietary_Sample[[#This Row],[Diet Hrsn]]</f>
        <v>0</v>
      </c>
      <c r="H92" s="12">
        <f>IF(Dietary_Sample[[#This Row],[Employee count Sample Data Aide]]=0,0,Dietary_Sample[[#This Row],[Employee count Sample Data Aide]]/(Dietary_Sample[[#This Row],[Employee count Sample Data Aide]]+Dietary_Sample[[#This Row],[Employee count Sample Data Cook]]*Dietary_Sample[[#This Row],[Wage difference Median]])*Dietary_Sample[[#This Row],[Cost Estimator]])</f>
        <v>106481.06621617534</v>
      </c>
      <c r="I92" s="17">
        <f>+Dietary_Sample[[#This Row],[Employee count Sample Data Aide]]/Dietary_Sample[[#This Row],[Total aide &amp; Cook]]*Dietary_Sample[[#This Row],[Diet Hrsn]]</f>
        <v>5659.4444444444443</v>
      </c>
      <c r="J92" s="13">
        <f>IF(Dietary_Sample[[#This Row],[Aide Hours]]=0,0,Dietary_Sample[[#This Row],[Aide cost estimator]]/Dietary_Sample[[#This Row],[Aide Hours]])</f>
        <v>18.814755982047277</v>
      </c>
      <c r="K92" s="12">
        <f>IF(Dietary_Sample[[#This Row],[Employee count Sample Data Cook]]=0,0,(Dietary_Sample[[#This Row],[Employee count Sample Data Cook]]*Dietary_Sample[[#This Row],[Wage difference Median]])/(Dietary_Sample[[#This Row],[Employee count Sample Data Aide]]+Dietary_Sample[[#This Row],[Employee count Sample Data Cook]]*Dietary_Sample[[#This Row],[Wage difference Median]])*Dietary_Sample[[#This Row],[Cost Estimator]])</f>
        <v>89833.036374791875</v>
      </c>
      <c r="L92" s="17">
        <f>+Dietary_Sample[[#This Row],[Employee count Sample Data Cook]]/Dietary_Sample[[#This Row],[Total aide &amp; Cook]]*Dietary_Sample[[#This Row],[Diet Hrsn]]</f>
        <v>4527.5555555555557</v>
      </c>
      <c r="M92" s="13">
        <f>IF(Dietary_Sample[[#This Row],[Cook Hours]]=0,0,Dietary_Sample[[#This Row],[Cook cost estimator]]/Dietary_Sample[[#This Row],[Cook Hours]])</f>
        <v>19.841399022605451</v>
      </c>
      <c r="N92" s="12">
        <f>VLOOKUP(A92,'Estimator data 120523'!$A:$F,5,FALSE)</f>
        <v>196314.1025909672</v>
      </c>
      <c r="O92" s="12">
        <f>VLOOKUP($A92,'SAS Data'!$1:$1048576,MATCH(O$1,'SAS Data'!$3:$3,0),FALSE)</f>
        <v>10187</v>
      </c>
      <c r="P92" s="13">
        <f>+Dietary_Sample[[#This Row],[Cost Estimator]]/Dietary_Sample[[#This Row],[Diet Hrsn]]</f>
        <v>19.271041777850908</v>
      </c>
      <c r="Q92" s="10">
        <f>COUNTIFS('Dietary Detail'!$R:$R,$A92,'Dietary Detail'!$U:$U,RIGHT(Q$1,4))</f>
        <v>5</v>
      </c>
      <c r="R92" s="10">
        <f>COUNTIFS('Dietary Detail'!$R:$R,$A92,'Dietary Detail'!$U:$U,RIGHT(R$1,4))</f>
        <v>4</v>
      </c>
      <c r="S92" s="10">
        <f>+Dietary_Sample[[#This Row],[Employee count Sample Data Aide]]+Dietary_Sample[[#This Row],[Employee count Sample Data Cook]]</f>
        <v>9</v>
      </c>
      <c r="T92" s="13">
        <v>13.854039999999999</v>
      </c>
      <c r="U92" s="13">
        <v>17.00404</v>
      </c>
      <c r="V92" s="13">
        <v>15.944039999999999</v>
      </c>
      <c r="W92" s="13">
        <v>15.532039999999999</v>
      </c>
      <c r="X92" s="13">
        <v>16.214040000000001</v>
      </c>
      <c r="Y92" s="13">
        <v>18.854040000000001</v>
      </c>
      <c r="Z92" s="13">
        <v>16.814039999999999</v>
      </c>
      <c r="AA92" s="13">
        <v>17.174039999999998</v>
      </c>
      <c r="AB92" s="13">
        <f>IF(AND(Dietary_Sample[[#This Row],[Aide median]]=0,Dietary_Sample[[#This Row],[Cook median]]=0),0,IF(Dietary_Sample[[#This Row],[Aide median]]=0,1,Dietary_Sample[[#This Row],[Cook median]]/Dietary_Sample[[#This Row],[Aide median]]))</f>
        <v>1.0545658440395282</v>
      </c>
      <c r="AC92" s="13">
        <f>IF(AND(Dietary_Sample[[#This Row],[Aide average]]=0,Dietary_Sample[[#This Row],[Cook average]]=0),0,IF(Dietary_Sample[[#This Row],[Aide average]]=0,1,Dietary_Sample[[#This Row],[Cook average]]/Dietary_Sample[[#This Row],[Aide average]]))</f>
        <v>1.1057169566908145</v>
      </c>
      <c r="AD92" s="37">
        <f>COUNTIFS('Dietary Detail'!$R:$R,$A92,'Dietary Detail'!$T:$T,"&lt;"&amp;V92,'Dietary Detail'!$U:$U,RIGHT(AD$1,4))</f>
        <v>2</v>
      </c>
      <c r="AE92" s="37">
        <f>COUNTIFS('Dietary Detail'!$R:$R,$A92,'Dietary Detail'!$T:$T,"&lt;"&amp;W92,'Dietary Detail'!$U:$U,RIGHT(AE$1,4))</f>
        <v>2</v>
      </c>
      <c r="AF92" s="37">
        <f>COUNTIFS('Dietary Detail'!$R:$R,$A92,'Dietary Detail'!$T:$T,"&lt;"&amp;$BG$3,'Dietary Detail'!$U:$U,RIGHT(AF$1,4))</f>
        <v>5</v>
      </c>
      <c r="AG92" s="37">
        <f>COUNTIFS('Dietary Detail'!$R:$R,$A92,'Dietary Detail'!$T:$T,"&lt;"&amp;$BG$4,'Dietary Detail'!$U:$U,RIGHT(AG$1,4))</f>
        <v>3</v>
      </c>
      <c r="AH92" s="37">
        <f>COUNTIFS('Dietary Detail'!$R:$R,$A92,'Dietary Detail'!$T:$T,"&lt;"&amp;$BG$5,'Dietary Detail'!$U:$U,RIGHT(AH$1,4))</f>
        <v>3</v>
      </c>
      <c r="AI92" s="37">
        <f>COUNTIFS('Dietary Detail'!$R:$R,$A92,'Dietary Detail'!$T:$T,"&lt;"&amp;Z92,'Dietary Detail'!$U:$U,RIGHT(AI$1,4))</f>
        <v>2</v>
      </c>
      <c r="AJ92" s="37">
        <f>COUNTIFS('Dietary Detail'!$R:$R,$A92,'Dietary Detail'!$T:$T,"&lt;"&amp;AA92,'Dietary Detail'!$U:$U,RIGHT(AJ$1,4))</f>
        <v>3</v>
      </c>
      <c r="AK92" s="37">
        <f>COUNTIFS('Dietary Detail'!$R:$R,$A92,'Dietary Detail'!$T:$T,"&lt;"&amp;$BH$3,'Dietary Detail'!$U:$U,RIGHT(AK$1,4))</f>
        <v>4</v>
      </c>
      <c r="AL92" s="37">
        <f>COUNTIFS('Dietary Detail'!$R:$R,$A92,'Dietary Detail'!$T:$T,"&lt;"&amp;$BH$4,'Dietary Detail'!$U:$U,RIGHT(AL$1,4))</f>
        <v>4</v>
      </c>
      <c r="AM92" s="37">
        <f>COUNTIFS('Dietary Detail'!$R:$R,$A92,'Dietary Detail'!$T:$T,"&lt;"&amp;$BH$5,'Dietary Detail'!$U:$U,RIGHT(AM$1,4))</f>
        <v>4</v>
      </c>
      <c r="AN92" s="12">
        <f>+Dietary_Sample[[#This Row],[Aide median]]*Dietary_Sample[[#This Row],[Aide Hours]]</f>
        <v>90234.408599999995</v>
      </c>
      <c r="AO92" s="12">
        <f>+Dietary_Sample[[#This Row],[Aide average]]*Dietary_Sample[[#This Row],[Aide Hours]]</f>
        <v>87902.717488888884</v>
      </c>
      <c r="AP92" s="12">
        <f>+Dietary_Sample[[#This Row],[Cook median]]*Dietary_Sample[[#This Row],[Cook Hours]]</f>
        <v>76126.500213333333</v>
      </c>
      <c r="AQ92" s="12">
        <f>+Dietary_Sample[[#This Row],[Cook average]]*Dietary_Sample[[#This Row],[Cook Hours]]</f>
        <v>77756.420213333331</v>
      </c>
      <c r="AR92" s="12">
        <f>+Dietary_Sample[[#This Row],[Est average Aide wage cost]]+Dietary_Sample[[#This Row],[Est average Cook wage cost]]</f>
        <v>165659.13770222222</v>
      </c>
      <c r="AS92" s="12">
        <f>+Dietary_Sample[[#This Row],[Est average Aide wage cost]]+Dietary_Sample[[#This Row],[Est average Cook wage cost]]</f>
        <v>165659.13770222222</v>
      </c>
      <c r="AT92" s="14">
        <f>IF(Dietary_Sample[[#This Row],[Aide cost estimator]]=0,0,Dietary_Sample[[#This Row],[Est median Aide wage cost ]]/Dietary_Sample[[#This Row],[Aide cost estimator]])</f>
        <v>0.84742209865562612</v>
      </c>
      <c r="AU92" s="14">
        <f>IF(Dietary_Sample[[#This Row],[Aide cost estimator]]=0,0,Dietary_Sample[[#This Row],[Est average Aide wage cost]]/Dietary_Sample[[#This Row],[Aide cost estimator]])</f>
        <v>0.82552439238757114</v>
      </c>
      <c r="AV92" s="14">
        <f>IF(Dietary_Sample[[#This Row],[Cook cost estimator]]=0,0,Dietary_Sample[[#This Row],[Est median Cook wage cost]]/Dietary_Sample[[#This Row],[Cook cost estimator]])</f>
        <v>0.84742209865562612</v>
      </c>
      <c r="AW92" s="14">
        <f>IF(Dietary_Sample[[#This Row],[Cook cost estimator]]=0,0,Dietary_Sample[[#This Row],[Est average Cook wage cost]]/Dietary_Sample[[#This Row],[Cook cost estimator]])</f>
        <v>0.86556598052554112</v>
      </c>
      <c r="AX92" s="14">
        <f>IF(Dietary_Sample[[#This Row],[Aide median]]=0,0,Dietary_Sample[[#This Row],[Aide min]]/Dietary_Sample[[#This Row],[Aide median]])</f>
        <v>0.86891653558320225</v>
      </c>
      <c r="AY92" s="14">
        <f>IF(Dietary_Sample[[#This Row],[Aide median]]=0,0,Dietary_Sample[[#This Row],[Aide max]]/Dietary_Sample[[#This Row],[Aide median]])</f>
        <v>1.0664825226228736</v>
      </c>
      <c r="AZ92" s="14">
        <f>IF(Dietary_Sample[[#This Row],[Cook median]]=0,0,Dietary_Sample[[#This Row],[Cook min]]/Dietary_Sample[[#This Row],[Cook median]])</f>
        <v>0.964315536301805</v>
      </c>
      <c r="BA92" s="14">
        <f>IF(Dietary_Sample[[#This Row],[Cook median]]=0,0,Dietary_Sample[[#This Row],[Cook max]]/Dietary_Sample[[#This Row],[Cook median]])</f>
        <v>1.1213271765738635</v>
      </c>
      <c r="BB92" s="12">
        <f>VLOOKUP(A92,Summary!$1:$1048576,2,FALSE)</f>
        <v>1</v>
      </c>
    </row>
    <row r="93" spans="1:54" x14ac:dyDescent="0.55000000000000004">
      <c r="C93" s="10">
        <f>SUBTOTAL(109,Dietary_Sample[Ftempdietary])</f>
        <v>606</v>
      </c>
      <c r="D93" s="10">
        <f>SUBTOTAL(109,Dietary_Sample[Ptempdietary])</f>
        <v>615</v>
      </c>
      <c r="E93" s="10">
        <f>SUBTOTAL(109,Dietary_Sample[Total employees])</f>
        <v>1221</v>
      </c>
      <c r="F93" s="16">
        <f>Dietary_Sample[[#Totals],[Cost]]/Dietary_Sample[[#Totals],[Diet Hrsn]]</f>
        <v>16.140663230656159</v>
      </c>
      <c r="G93" s="17">
        <f>SUBTOTAL(109,Dietary_Sample[Cost])</f>
        <v>27759100</v>
      </c>
      <c r="H93" s="17">
        <f>SUBTOTAL(109,Dietary_Sample[Aide cost estimator])</f>
        <v>20754835.2724519</v>
      </c>
      <c r="I93" s="17">
        <f>SUBTOTAL(109,Dietary_Sample[Aide Hours])</f>
        <v>1191593.9962072703</v>
      </c>
      <c r="J93" s="18">
        <f>+Dietary_Sample[[#Totals],[Aide cost estimator]]/Dietary_Sample[[#Totals],[Aide Hours]]</f>
        <v>17.417707154041189</v>
      </c>
      <c r="K93" s="17">
        <f>SUBTOTAL(109,Dietary_Sample[Cook cost estimator])</f>
        <v>11210260.578144977</v>
      </c>
      <c r="L93" s="17">
        <f>SUBTOTAL(109,Dietary_Sample[Cook Hours])</f>
        <v>528230.00379272981</v>
      </c>
      <c r="M93" s="18">
        <f>+Dietary_Sample[[#Totals],[Cook cost estimator]]/Dietary_Sample[[#Totals],[Cook Hours]]</f>
        <v>21.222309406233062</v>
      </c>
      <c r="N93" s="17">
        <f>SUBTOTAL(109,Dietary_Sample[Cost Estimator])</f>
        <v>31965095.850596882</v>
      </c>
      <c r="O93" s="17">
        <f>SUBTOTAL(109,Dietary_Sample[Diet Hrsn])</f>
        <v>1719824</v>
      </c>
      <c r="P93" s="18">
        <f>+Dietary_Sample[[#Totals],[Cost Estimator]]/Dietary_Sample[[#Totals],[Diet Hrsn]]</f>
        <v>18.586259902523096</v>
      </c>
      <c r="Q93" s="10">
        <f>SUBTOTAL(109,Dietary_Sample[Employee count Sample Data Aide])</f>
        <v>1033</v>
      </c>
      <c r="R93" s="10">
        <f>SUBTOTAL(109,Dietary_Sample[Employee count Sample Data Cook])</f>
        <v>400</v>
      </c>
      <c r="S93" s="10">
        <f>SUBTOTAL(109,Dietary_Sample[Total aide &amp; Cook])</f>
        <v>1433</v>
      </c>
      <c r="T93" s="18">
        <f>SUBTOTAL(101,Dietary_Sample[Aide min])</f>
        <v>14.437287072168603</v>
      </c>
      <c r="U93" s="18">
        <f>SUBTOTAL(101,Dietary_Sample[Aide max])</f>
        <v>17.678336172448461</v>
      </c>
      <c r="V93" s="18">
        <f>SUBTOTAL(101,Dietary_Sample[Aide median])</f>
        <v>15.225775501827298</v>
      </c>
      <c r="W93" s="18">
        <f>SUBTOTAL(101,Dietary_Sample[Aide average])</f>
        <v>15.520162491181607</v>
      </c>
      <c r="X93" s="18">
        <f>SUBTOTAL(101,Dietary_Sample[Cook min])</f>
        <v>17.947110329670327</v>
      </c>
      <c r="Y93" s="18">
        <f>SUBTOTAL(101,Dietary_Sample[Cook max])</f>
        <v>21.047869670329675</v>
      </c>
      <c r="Z93" s="18">
        <f>SUBTOTAL(101,Dietary_Sample[Cook median])</f>
        <v>19.489356316127015</v>
      </c>
      <c r="AA93" s="18">
        <f>SUBTOTAL(101,Dietary_Sample[Cook average])</f>
        <v>19.504147731702453</v>
      </c>
      <c r="AB93" s="18">
        <f>+Dietary_Sample[[#Totals],[Cook median]]/Dietary_Sample[[#Totals],[Aide median]]</f>
        <v>1.2800238854032775</v>
      </c>
      <c r="AC93" s="18">
        <f>+Dietary_Sample[[#Totals],[Cook median]]/Dietary_Sample[[#Totals],[Aide median]]</f>
        <v>1.2800238854032775</v>
      </c>
      <c r="AD93" s="17">
        <f>SUBTOTAL(109,Dietary_Sample[Below median Aide])</f>
        <v>300</v>
      </c>
      <c r="AE93" s="17">
        <f>SUBTOTAL(109,Dietary_Sample[Below Average Aide])</f>
        <v>660</v>
      </c>
      <c r="AF93" s="17">
        <f>SUBTOTAL(109,Dietary_Sample[Below Floor Aide])</f>
        <v>1031</v>
      </c>
      <c r="AG93" s="17">
        <f>SUBTOTAL(109,Dietary_Sample[Below weighted average median wage Aide])</f>
        <v>533</v>
      </c>
      <c r="AH93" s="17">
        <f>SUBTOTAL(109,Dietary_Sample[Below weighted average, average wage Aide])</f>
        <v>659</v>
      </c>
      <c r="AI93" s="17">
        <f>SUBTOTAL(109,Dietary_Sample[Below median Cook])</f>
        <v>155</v>
      </c>
      <c r="AJ93" s="17">
        <f>SUBTOTAL(109,Dietary_Sample[Below Average Cook])</f>
        <v>196</v>
      </c>
      <c r="AK93" s="17">
        <f>SUBTOTAL(109,Dietary_Sample[Below Floor Cook])</f>
        <v>384</v>
      </c>
      <c r="AL93" s="17">
        <f>SUBTOTAL(109,Dietary_Sample[Below weighted average median wage Cook])</f>
        <v>207</v>
      </c>
      <c r="AM93" s="17">
        <f>SUBTOTAL(109,Dietary_Sample[Below weighted average, average wage Cook])</f>
        <v>207</v>
      </c>
      <c r="AN93" s="17">
        <f>SUBTOTAL(109,Dietary_Sample[[Est median Aide wage cost ]])</f>
        <v>19298364.957778983</v>
      </c>
      <c r="AO93" s="17">
        <f>SUBTOTAL(109,Dietary_Sample[Est average Aide wage cost])</f>
        <v>19754626.190688916</v>
      </c>
      <c r="AP93" s="17">
        <f>SUBTOTAL(109,Dietary_Sample[Est median Cook wage cost])</f>
        <v>10412841.864779275</v>
      </c>
      <c r="AQ93" s="17">
        <f>SUBTOTAL(109,Dietary_Sample[Est average Cook wage cost])</f>
        <v>10413275.094521452</v>
      </c>
      <c r="AR93" s="17">
        <f>SUBTOTAL(109,Dietary_Sample[Est Median wage cost])</f>
        <v>30167901.285210367</v>
      </c>
      <c r="AS93" s="17">
        <f>SUBTOTAL(109,Dietary_Sample[Est average wage cost])</f>
        <v>30167901.285210367</v>
      </c>
      <c r="AT93" s="20">
        <f>+Dietary_Sample[[#Totals],[Est median Aide wage cost ]]/Dietary_Sample[[#Totals],[Aide cost estimator]]</f>
        <v>0.92982501207291657</v>
      </c>
      <c r="AU93" s="20">
        <f>+Dietary_Sample[[#Totals],[Est average Aide wage cost]]/Dietary_Sample[[#Totals],[Aide cost estimator]]</f>
        <v>0.95180838254637601</v>
      </c>
      <c r="AV93" s="20">
        <f>+Dietary_Sample[[#Totals],[Est median Cook wage cost]]/Dietary_Sample[[#Totals],[Cook cost estimator]]</f>
        <v>0.92886706711168576</v>
      </c>
      <c r="AW93" s="20">
        <f>+Dietary_Sample[[#Totals],[Est average Cook wage cost]]/Dietary_Sample[[#Totals],[Cook cost estimator]]</f>
        <v>0.92890571293433688</v>
      </c>
      <c r="AX93" s="20">
        <f>+Dietary_Sample[[#Totals],[Aide min]]/Dietary_Sample[[#Totals],[Aide median]]</f>
        <v>0.94821357837805598</v>
      </c>
      <c r="AY93" s="20">
        <f>+Dietary_Sample[[#Totals],[Aide max]]/Dietary_Sample[[#Totals],[Aide median]]</f>
        <v>1.161079524016811</v>
      </c>
      <c r="AZ93" s="20">
        <f>+Dietary_Sample[[#Totals],[Aide max]]/Dietary_Sample[[#Totals],[Aide average]]</f>
        <v>1.139056126667044</v>
      </c>
      <c r="BA93" s="20">
        <f>+Dietary_Sample[[#Totals],[Aide median]]/Dietary_Sample[[#Totals],[Aide average]]</f>
        <v>0.98103196474124699</v>
      </c>
    </row>
    <row r="94" spans="1:54" x14ac:dyDescent="0.55000000000000004">
      <c r="S94" s="17"/>
    </row>
    <row r="100" spans="17:39" x14ac:dyDescent="0.55000000000000004">
      <c r="Q100" s="10">
        <f>SUM(Q2:Q92)</f>
        <v>1033</v>
      </c>
      <c r="R100" s="10">
        <f>SUM(R2:R92)</f>
        <v>400</v>
      </c>
      <c r="S100" s="13"/>
      <c r="V100" s="10"/>
      <c r="W100" s="10"/>
      <c r="X100" s="10"/>
      <c r="Y100" s="10"/>
      <c r="Z100" s="10"/>
      <c r="AC100" s="13" t="s">
        <v>88</v>
      </c>
      <c r="AD100" s="10">
        <f>SUM(R2:R92)</f>
        <v>400</v>
      </c>
      <c r="AE100" s="10">
        <f t="shared" ref="AE100:AM100" si="3">SUM(AE2:AE92)</f>
        <v>660</v>
      </c>
      <c r="AF100" s="10">
        <f t="shared" si="3"/>
        <v>1031</v>
      </c>
      <c r="AG100" s="10">
        <f t="shared" si="3"/>
        <v>533</v>
      </c>
      <c r="AH100" s="10">
        <f t="shared" si="3"/>
        <v>659</v>
      </c>
      <c r="AI100" s="10">
        <f t="shared" si="3"/>
        <v>155</v>
      </c>
      <c r="AJ100" s="10">
        <f t="shared" si="3"/>
        <v>196</v>
      </c>
      <c r="AK100" s="10">
        <f t="shared" si="3"/>
        <v>384</v>
      </c>
      <c r="AL100" s="10">
        <f t="shared" si="3"/>
        <v>207</v>
      </c>
      <c r="AM100" s="10">
        <f t="shared" si="3"/>
        <v>207</v>
      </c>
    </row>
    <row r="101" spans="17:39" x14ac:dyDescent="0.55000000000000004">
      <c r="Q101" s="10">
        <f t="shared" ref="Q101:R103" ca="1" si="4">SUMIF($BB$2:$BB$97,$AC101,Q$2:Q$92)</f>
        <v>179</v>
      </c>
      <c r="R101" s="10">
        <f t="shared" ca="1" si="4"/>
        <v>78</v>
      </c>
      <c r="S101" s="13"/>
      <c r="V101" s="10"/>
      <c r="W101" s="10"/>
      <c r="X101" s="10"/>
      <c r="Y101" s="10"/>
      <c r="Z101" s="10"/>
      <c r="AC101" s="13">
        <v>1</v>
      </c>
      <c r="AD101" s="10">
        <f ca="1">SUMIF($BB$2:$BB$97,$AC101,R$2:R$92)</f>
        <v>78</v>
      </c>
      <c r="AE101" s="10">
        <f t="shared" ref="AE101:AM103" ca="1" si="5">SUMIF($BB$2:$BB$97,$AC101,AE$2:AE$92)</f>
        <v>110</v>
      </c>
      <c r="AF101" s="10">
        <f t="shared" ca="1" si="5"/>
        <v>179</v>
      </c>
      <c r="AG101" s="10">
        <f t="shared" ca="1" si="5"/>
        <v>78</v>
      </c>
      <c r="AH101" s="10">
        <f t="shared" ca="1" si="5"/>
        <v>99</v>
      </c>
      <c r="AI101" s="10">
        <f t="shared" ca="1" si="5"/>
        <v>28</v>
      </c>
      <c r="AJ101" s="10">
        <f t="shared" ca="1" si="5"/>
        <v>38</v>
      </c>
      <c r="AK101" s="10">
        <f t="shared" ca="1" si="5"/>
        <v>75</v>
      </c>
      <c r="AL101" s="10">
        <f t="shared" ca="1" si="5"/>
        <v>41</v>
      </c>
      <c r="AM101" s="10">
        <f t="shared" ca="1" si="5"/>
        <v>41</v>
      </c>
    </row>
    <row r="102" spans="17:39" x14ac:dyDescent="0.55000000000000004">
      <c r="Q102" s="10">
        <f t="shared" ca="1" si="4"/>
        <v>412</v>
      </c>
      <c r="R102" s="10">
        <f t="shared" ca="1" si="4"/>
        <v>158</v>
      </c>
      <c r="S102" s="13"/>
      <c r="V102" s="10"/>
      <c r="W102" s="10"/>
      <c r="X102" s="10"/>
      <c r="Y102" s="10"/>
      <c r="Z102" s="10"/>
      <c r="AC102" s="13">
        <v>2</v>
      </c>
      <c r="AD102" s="10">
        <f ca="1">SUMIF($BB$2:$BB$97,$AC102,R$2:R$92)</f>
        <v>158</v>
      </c>
      <c r="AE102" s="10">
        <f t="shared" ca="1" si="5"/>
        <v>268</v>
      </c>
      <c r="AF102" s="10">
        <f t="shared" ca="1" si="5"/>
        <v>410</v>
      </c>
      <c r="AG102" s="10">
        <f t="shared" ca="1" si="5"/>
        <v>263</v>
      </c>
      <c r="AH102" s="10">
        <f t="shared" ca="1" si="5"/>
        <v>289</v>
      </c>
      <c r="AI102" s="10">
        <f t="shared" ca="1" si="5"/>
        <v>60</v>
      </c>
      <c r="AJ102" s="10">
        <f t="shared" ca="1" si="5"/>
        <v>81</v>
      </c>
      <c r="AK102" s="10">
        <f t="shared" ca="1" si="5"/>
        <v>151</v>
      </c>
      <c r="AL102" s="10">
        <f t="shared" ca="1" si="5"/>
        <v>87</v>
      </c>
      <c r="AM102" s="10">
        <f t="shared" ca="1" si="5"/>
        <v>87</v>
      </c>
    </row>
    <row r="103" spans="17:39" x14ac:dyDescent="0.55000000000000004">
      <c r="Q103" s="10">
        <f t="shared" ca="1" si="4"/>
        <v>442</v>
      </c>
      <c r="R103" s="10">
        <f t="shared" ca="1" si="4"/>
        <v>164</v>
      </c>
      <c r="S103" s="13"/>
      <c r="V103" s="10"/>
      <c r="W103" s="10"/>
      <c r="X103" s="10"/>
      <c r="Y103" s="10"/>
      <c r="Z103" s="10"/>
      <c r="AC103" s="13">
        <v>3</v>
      </c>
      <c r="AD103" s="10">
        <f ca="1">SUMIF($BB$2:$BB$97,$AC103,R$2:R$92)</f>
        <v>164</v>
      </c>
      <c r="AE103" s="10">
        <f t="shared" ca="1" si="5"/>
        <v>282</v>
      </c>
      <c r="AF103" s="10">
        <f t="shared" ca="1" si="5"/>
        <v>442</v>
      </c>
      <c r="AG103" s="10">
        <f t="shared" ca="1" si="5"/>
        <v>192</v>
      </c>
      <c r="AH103" s="10">
        <f t="shared" ca="1" si="5"/>
        <v>271</v>
      </c>
      <c r="AI103" s="10">
        <f t="shared" ca="1" si="5"/>
        <v>67</v>
      </c>
      <c r="AJ103" s="10">
        <f t="shared" ca="1" si="5"/>
        <v>77</v>
      </c>
      <c r="AK103" s="10">
        <f t="shared" ca="1" si="5"/>
        <v>158</v>
      </c>
      <c r="AL103" s="10">
        <f t="shared" ca="1" si="5"/>
        <v>79</v>
      </c>
      <c r="AM103" s="10">
        <f t="shared" ca="1" si="5"/>
        <v>79</v>
      </c>
    </row>
  </sheetData>
  <sheetProtection algorithmName="SHA-512" hashValue="xUl/nH+BdMxOxKaVLhldk/sEVa+6NbkRKA85+7Sgh4sD1ctaG7Mq4vkGjliYcFvvAW85Zwzzm38Ljw9uG+BxqA==" saltValue="pj7g7VO0e6veXhqOBevj3w==" spinCount="100000" sheet="1" objects="1" scenarios="1" selectLockedCells="1" selectUn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9BF6-ACBD-4B74-BEE4-3547C3AE5DD6}">
  <dimension ref="A1:U1635"/>
  <sheetViews>
    <sheetView workbookViewId="0">
      <selection sqref="A1:XFD1048576"/>
    </sheetView>
  </sheetViews>
  <sheetFormatPr defaultColWidth="9.15625" defaultRowHeight="14.4" x14ac:dyDescent="0.55000000000000004"/>
  <cols>
    <col min="1" max="1" width="7.26171875" style="71" customWidth="1"/>
    <col min="2" max="2" width="49" style="71" bestFit="1" customWidth="1"/>
    <col min="3" max="4" width="16.68359375" style="73" bestFit="1" customWidth="1"/>
    <col min="5" max="7" width="9.15625" style="71"/>
    <col min="8" max="8" width="9.15625" style="72"/>
    <col min="9" max="12" width="9.15625" style="71"/>
    <col min="13" max="13" width="9.15625" style="72"/>
    <col min="14" max="19" width="9.15625" style="71"/>
    <col min="20" max="20" width="9.15625" style="72"/>
    <col min="21" max="16384" width="9.15625" style="71"/>
  </cols>
  <sheetData>
    <row r="1" spans="1:21" x14ac:dyDescent="0.55000000000000004">
      <c r="A1" s="69" t="s">
        <v>13</v>
      </c>
      <c r="B1" s="69"/>
      <c r="C1" s="70" t="s">
        <v>142</v>
      </c>
      <c r="D1" s="70" t="s">
        <v>143</v>
      </c>
      <c r="F1" s="71" t="s">
        <v>13</v>
      </c>
      <c r="H1" s="72" t="s">
        <v>144</v>
      </c>
      <c r="I1" s="71" t="s">
        <v>145</v>
      </c>
      <c r="K1" s="71" t="s">
        <v>13</v>
      </c>
      <c r="M1" s="72" t="s">
        <v>143</v>
      </c>
      <c r="T1" s="72" t="s">
        <v>144</v>
      </c>
      <c r="U1" s="71" t="s">
        <v>145</v>
      </c>
    </row>
    <row r="2" spans="1:21" x14ac:dyDescent="0.55000000000000004">
      <c r="A2" s="71">
        <v>928</v>
      </c>
      <c r="C2" s="73">
        <v>10.5</v>
      </c>
      <c r="D2" s="73">
        <v>21.14</v>
      </c>
      <c r="F2" s="71">
        <v>142</v>
      </c>
      <c r="H2" s="72">
        <v>17.139199999999999</v>
      </c>
      <c r="I2" s="71" t="s">
        <v>139</v>
      </c>
      <c r="K2" s="71">
        <v>828</v>
      </c>
      <c r="M2" s="72">
        <v>14.03</v>
      </c>
      <c r="N2" s="71" t="s">
        <v>1</v>
      </c>
      <c r="R2" s="71">
        <v>142</v>
      </c>
      <c r="T2" s="72">
        <v>17.139199999999999</v>
      </c>
      <c r="U2" s="71" t="s">
        <v>139</v>
      </c>
    </row>
    <row r="3" spans="1:21" x14ac:dyDescent="0.55000000000000004">
      <c r="A3" s="71">
        <v>928</v>
      </c>
      <c r="C3" s="73">
        <v>11</v>
      </c>
      <c r="D3" s="73">
        <v>18.28</v>
      </c>
      <c r="F3" s="71">
        <v>142</v>
      </c>
      <c r="H3" s="72">
        <v>17.9712</v>
      </c>
      <c r="I3" s="71" t="s">
        <v>139</v>
      </c>
      <c r="K3" s="71">
        <v>644</v>
      </c>
      <c r="M3" s="72">
        <v>14.57</v>
      </c>
      <c r="N3" s="71" t="s">
        <v>1</v>
      </c>
      <c r="R3" s="71">
        <v>142</v>
      </c>
      <c r="T3" s="72">
        <v>17.9712</v>
      </c>
      <c r="U3" s="71" t="s">
        <v>139</v>
      </c>
    </row>
    <row r="4" spans="1:21" x14ac:dyDescent="0.55000000000000004">
      <c r="A4" s="71">
        <v>928</v>
      </c>
      <c r="C4" s="73">
        <v>11</v>
      </c>
      <c r="D4" s="73">
        <v>17.309999999999999</v>
      </c>
      <c r="F4" s="71">
        <v>143</v>
      </c>
      <c r="H4" s="72">
        <v>15</v>
      </c>
      <c r="I4" s="71" t="s">
        <v>139</v>
      </c>
      <c r="K4" s="71">
        <v>222</v>
      </c>
      <c r="M4" s="72">
        <v>14.74</v>
      </c>
      <c r="N4" s="71" t="s">
        <v>1</v>
      </c>
      <c r="R4" s="71">
        <v>143</v>
      </c>
      <c r="T4" s="72">
        <v>15</v>
      </c>
      <c r="U4" s="71" t="s">
        <v>139</v>
      </c>
    </row>
    <row r="5" spans="1:21" x14ac:dyDescent="0.55000000000000004">
      <c r="A5" s="71">
        <v>928</v>
      </c>
      <c r="C5" s="73">
        <v>11.75</v>
      </c>
      <c r="D5" s="73">
        <v>20.38</v>
      </c>
      <c r="F5" s="71">
        <v>143</v>
      </c>
      <c r="H5" s="72">
        <v>15</v>
      </c>
      <c r="I5" s="71" t="s">
        <v>139</v>
      </c>
      <c r="K5" s="71">
        <v>738</v>
      </c>
      <c r="M5" s="72">
        <v>15</v>
      </c>
      <c r="N5" s="71" t="s">
        <v>1</v>
      </c>
      <c r="R5" s="71">
        <v>143</v>
      </c>
      <c r="T5" s="72">
        <v>15</v>
      </c>
      <c r="U5" s="71" t="s">
        <v>139</v>
      </c>
    </row>
    <row r="6" spans="1:21" x14ac:dyDescent="0.55000000000000004">
      <c r="A6" s="71">
        <v>928</v>
      </c>
      <c r="C6" s="73">
        <v>12</v>
      </c>
      <c r="D6" s="73">
        <v>20</v>
      </c>
      <c r="F6" s="71">
        <v>143</v>
      </c>
      <c r="H6" s="72">
        <v>15</v>
      </c>
      <c r="I6" s="71" t="s">
        <v>139</v>
      </c>
      <c r="K6" s="71">
        <v>828</v>
      </c>
      <c r="M6" s="72">
        <v>15</v>
      </c>
      <c r="N6" s="71" t="s">
        <v>1</v>
      </c>
      <c r="R6" s="71">
        <v>143</v>
      </c>
      <c r="T6" s="72">
        <v>15</v>
      </c>
      <c r="U6" s="71" t="s">
        <v>139</v>
      </c>
    </row>
    <row r="7" spans="1:21" x14ac:dyDescent="0.55000000000000004">
      <c r="A7" s="71">
        <v>205</v>
      </c>
      <c r="C7" s="73">
        <v>12</v>
      </c>
      <c r="D7" s="73">
        <v>21</v>
      </c>
      <c r="F7" s="71">
        <v>143</v>
      </c>
      <c r="H7" s="72">
        <v>15.22</v>
      </c>
      <c r="I7" s="71" t="s">
        <v>139</v>
      </c>
      <c r="K7" s="71">
        <v>420</v>
      </c>
      <c r="M7" s="72">
        <v>15</v>
      </c>
      <c r="N7" s="71" t="s">
        <v>1</v>
      </c>
      <c r="R7" s="71">
        <v>143</v>
      </c>
      <c r="T7" s="72">
        <v>15.22</v>
      </c>
      <c r="U7" s="71" t="s">
        <v>139</v>
      </c>
    </row>
    <row r="8" spans="1:21" x14ac:dyDescent="0.55000000000000004">
      <c r="A8" s="71">
        <v>205</v>
      </c>
      <c r="C8" s="73">
        <v>12</v>
      </c>
      <c r="D8" s="73">
        <v>24.16</v>
      </c>
      <c r="F8" s="71">
        <v>143</v>
      </c>
      <c r="H8" s="72">
        <v>15.22</v>
      </c>
      <c r="I8" s="71" t="s">
        <v>139</v>
      </c>
      <c r="K8" s="71">
        <v>783</v>
      </c>
      <c r="M8" s="72">
        <v>15.42</v>
      </c>
      <c r="N8" s="71" t="s">
        <v>1</v>
      </c>
      <c r="R8" s="71">
        <v>143</v>
      </c>
      <c r="T8" s="72">
        <v>15.22</v>
      </c>
      <c r="U8" s="71" t="s">
        <v>139</v>
      </c>
    </row>
    <row r="9" spans="1:21" x14ac:dyDescent="0.55000000000000004">
      <c r="A9" s="71">
        <v>205</v>
      </c>
      <c r="C9" s="73">
        <v>12</v>
      </c>
      <c r="F9" s="71">
        <v>143</v>
      </c>
      <c r="H9" s="72">
        <v>15.22</v>
      </c>
      <c r="I9" s="71" t="s">
        <v>139</v>
      </c>
      <c r="K9" s="71">
        <v>738</v>
      </c>
      <c r="M9" s="72">
        <v>15.45</v>
      </c>
      <c r="N9" s="71" t="s">
        <v>1</v>
      </c>
      <c r="R9" s="71">
        <v>143</v>
      </c>
      <c r="T9" s="72">
        <v>15.22</v>
      </c>
      <c r="U9" s="71" t="s">
        <v>139</v>
      </c>
    </row>
    <row r="10" spans="1:21" x14ac:dyDescent="0.55000000000000004">
      <c r="A10" s="71">
        <v>205</v>
      </c>
      <c r="C10" s="73">
        <v>12</v>
      </c>
      <c r="F10" s="71">
        <v>143</v>
      </c>
      <c r="H10" s="72">
        <v>15.61</v>
      </c>
      <c r="I10" s="71" t="s">
        <v>139</v>
      </c>
      <c r="K10" s="71">
        <v>738</v>
      </c>
      <c r="M10" s="72">
        <v>15.45</v>
      </c>
      <c r="N10" s="71" t="s">
        <v>1</v>
      </c>
      <c r="R10" s="71">
        <v>143</v>
      </c>
      <c r="T10" s="72">
        <v>15.61</v>
      </c>
      <c r="U10" s="71" t="s">
        <v>139</v>
      </c>
    </row>
    <row r="11" spans="1:21" x14ac:dyDescent="0.55000000000000004">
      <c r="A11" s="71">
        <v>205</v>
      </c>
      <c r="C11" s="73">
        <v>12.5</v>
      </c>
      <c r="F11" s="71">
        <v>143</v>
      </c>
      <c r="H11" s="72">
        <v>17.43</v>
      </c>
      <c r="I11" s="71" t="s">
        <v>139</v>
      </c>
      <c r="K11" s="71">
        <v>222</v>
      </c>
      <c r="M11" s="72">
        <v>15.5</v>
      </c>
      <c r="N11" s="71" t="s">
        <v>1</v>
      </c>
      <c r="R11" s="71">
        <v>143</v>
      </c>
      <c r="T11" s="72">
        <v>17.43</v>
      </c>
      <c r="U11" s="71" t="s">
        <v>139</v>
      </c>
    </row>
    <row r="12" spans="1:21" x14ac:dyDescent="0.55000000000000004">
      <c r="A12" s="71">
        <v>227</v>
      </c>
      <c r="C12" s="73">
        <v>12.5</v>
      </c>
      <c r="F12" s="71">
        <v>143</v>
      </c>
      <c r="H12" s="72">
        <v>18.98</v>
      </c>
      <c r="I12" s="71" t="s">
        <v>139</v>
      </c>
      <c r="K12" s="71">
        <v>828</v>
      </c>
      <c r="M12" s="72">
        <v>15.67</v>
      </c>
      <c r="N12" s="71" t="s">
        <v>1</v>
      </c>
      <c r="R12" s="71">
        <v>143</v>
      </c>
      <c r="T12" s="72">
        <v>18.98</v>
      </c>
      <c r="U12" s="71" t="s">
        <v>139</v>
      </c>
    </row>
    <row r="13" spans="1:21" x14ac:dyDescent="0.55000000000000004">
      <c r="A13" s="71">
        <v>227</v>
      </c>
      <c r="C13" s="73">
        <v>12.5</v>
      </c>
      <c r="F13" s="71">
        <v>145</v>
      </c>
      <c r="H13" s="72">
        <v>17</v>
      </c>
      <c r="I13" s="71" t="s">
        <v>139</v>
      </c>
      <c r="K13" s="71">
        <v>828</v>
      </c>
      <c r="M13" s="72">
        <v>15.67</v>
      </c>
      <c r="N13" s="71" t="s">
        <v>1</v>
      </c>
      <c r="R13" s="71">
        <v>145</v>
      </c>
      <c r="T13" s="72">
        <v>17</v>
      </c>
      <c r="U13" s="71" t="s">
        <v>139</v>
      </c>
    </row>
    <row r="14" spans="1:21" x14ac:dyDescent="0.55000000000000004">
      <c r="A14" s="71">
        <v>658</v>
      </c>
      <c r="C14" s="73">
        <v>12.55</v>
      </c>
      <c r="F14" s="71">
        <v>145</v>
      </c>
      <c r="H14" s="72">
        <v>17</v>
      </c>
      <c r="I14" s="71" t="s">
        <v>139</v>
      </c>
      <c r="K14" s="71">
        <v>644</v>
      </c>
      <c r="M14" s="72">
        <v>15.84</v>
      </c>
      <c r="N14" s="71" t="s">
        <v>1</v>
      </c>
      <c r="R14" s="71">
        <v>145</v>
      </c>
      <c r="T14" s="72">
        <v>17</v>
      </c>
      <c r="U14" s="71" t="s">
        <v>139</v>
      </c>
    </row>
    <row r="15" spans="1:21" x14ac:dyDescent="0.55000000000000004">
      <c r="A15" s="71">
        <v>658</v>
      </c>
      <c r="C15" s="73">
        <v>12.8</v>
      </c>
      <c r="F15" s="71">
        <v>145</v>
      </c>
      <c r="H15" s="72">
        <v>17</v>
      </c>
      <c r="I15" s="71" t="s">
        <v>139</v>
      </c>
      <c r="K15" s="71">
        <v>644</v>
      </c>
      <c r="M15" s="72">
        <v>15.84</v>
      </c>
      <c r="N15" s="71" t="s">
        <v>1</v>
      </c>
      <c r="R15" s="71">
        <v>145</v>
      </c>
      <c r="T15" s="72">
        <v>17</v>
      </c>
      <c r="U15" s="71" t="s">
        <v>139</v>
      </c>
    </row>
    <row r="16" spans="1:21" x14ac:dyDescent="0.55000000000000004">
      <c r="A16" s="71">
        <v>658</v>
      </c>
      <c r="C16" s="73">
        <v>12.8</v>
      </c>
      <c r="F16" s="71">
        <v>145</v>
      </c>
      <c r="H16" s="72">
        <v>17</v>
      </c>
      <c r="I16" s="71" t="s">
        <v>139</v>
      </c>
      <c r="K16" s="71">
        <v>644</v>
      </c>
      <c r="M16" s="72">
        <v>15.84</v>
      </c>
      <c r="N16" s="71" t="s">
        <v>1</v>
      </c>
      <c r="R16" s="71">
        <v>145</v>
      </c>
      <c r="T16" s="72">
        <v>17</v>
      </c>
      <c r="U16" s="71" t="s">
        <v>139</v>
      </c>
    </row>
    <row r="17" spans="1:21" x14ac:dyDescent="0.55000000000000004">
      <c r="A17" s="71">
        <v>658</v>
      </c>
      <c r="C17" s="73">
        <v>12.8</v>
      </c>
      <c r="F17" s="71">
        <v>145</v>
      </c>
      <c r="H17" s="72">
        <v>17</v>
      </c>
      <c r="I17" s="71" t="s">
        <v>139</v>
      </c>
      <c r="K17" s="71">
        <v>644</v>
      </c>
      <c r="M17" s="72">
        <v>15.84</v>
      </c>
      <c r="N17" s="71" t="s">
        <v>1</v>
      </c>
      <c r="R17" s="71">
        <v>145</v>
      </c>
      <c r="T17" s="72">
        <v>17</v>
      </c>
      <c r="U17" s="71" t="s">
        <v>139</v>
      </c>
    </row>
    <row r="18" spans="1:21" x14ac:dyDescent="0.55000000000000004">
      <c r="A18" s="71">
        <v>658</v>
      </c>
      <c r="C18" s="73">
        <v>12.8</v>
      </c>
      <c r="F18" s="71">
        <v>145</v>
      </c>
      <c r="H18" s="72">
        <v>17</v>
      </c>
      <c r="I18" s="71" t="s">
        <v>139</v>
      </c>
      <c r="K18" s="71">
        <v>222</v>
      </c>
      <c r="M18" s="72">
        <v>15.88</v>
      </c>
      <c r="N18" s="71" t="s">
        <v>1</v>
      </c>
      <c r="R18" s="71">
        <v>145</v>
      </c>
      <c r="T18" s="72">
        <v>17</v>
      </c>
      <c r="U18" s="71" t="s">
        <v>139</v>
      </c>
    </row>
    <row r="19" spans="1:21" x14ac:dyDescent="0.55000000000000004">
      <c r="A19" s="71">
        <v>658</v>
      </c>
      <c r="C19" s="73">
        <v>12.85</v>
      </c>
      <c r="F19" s="71">
        <v>145</v>
      </c>
      <c r="H19" s="72">
        <v>18</v>
      </c>
      <c r="I19" s="71" t="s">
        <v>139</v>
      </c>
      <c r="K19" s="71">
        <v>156</v>
      </c>
      <c r="M19" s="72">
        <v>15.96</v>
      </c>
      <c r="N19" s="71" t="s">
        <v>1</v>
      </c>
      <c r="R19" s="71">
        <v>145</v>
      </c>
      <c r="T19" s="72">
        <v>18</v>
      </c>
      <c r="U19" s="71" t="s">
        <v>139</v>
      </c>
    </row>
    <row r="20" spans="1:21" x14ac:dyDescent="0.55000000000000004">
      <c r="A20" s="71">
        <v>728</v>
      </c>
      <c r="C20" s="74">
        <v>13</v>
      </c>
      <c r="D20" s="74">
        <v>18.5</v>
      </c>
      <c r="F20" s="71">
        <v>145</v>
      </c>
      <c r="H20" s="72">
        <v>18.05</v>
      </c>
      <c r="I20" s="71" t="s">
        <v>139</v>
      </c>
      <c r="K20" s="71">
        <v>928</v>
      </c>
      <c r="M20" s="72">
        <v>16</v>
      </c>
      <c r="N20" s="71" t="s">
        <v>1</v>
      </c>
      <c r="R20" s="71">
        <v>145</v>
      </c>
      <c r="T20" s="72">
        <v>18.05</v>
      </c>
      <c r="U20" s="71" t="s">
        <v>139</v>
      </c>
    </row>
    <row r="21" spans="1:21" x14ac:dyDescent="0.55000000000000004">
      <c r="A21" s="71">
        <v>738</v>
      </c>
      <c r="C21" s="73">
        <v>13</v>
      </c>
      <c r="D21" s="73">
        <v>20</v>
      </c>
      <c r="F21" s="71">
        <v>145</v>
      </c>
      <c r="H21" s="72">
        <v>18.079999999999998</v>
      </c>
      <c r="I21" s="71" t="s">
        <v>139</v>
      </c>
      <c r="K21" s="71">
        <v>423</v>
      </c>
      <c r="M21" s="72">
        <v>16</v>
      </c>
      <c r="N21" s="71" t="s">
        <v>1</v>
      </c>
      <c r="R21" s="71">
        <v>145</v>
      </c>
      <c r="T21" s="72">
        <v>18.079999999999998</v>
      </c>
      <c r="U21" s="71" t="s">
        <v>139</v>
      </c>
    </row>
    <row r="22" spans="1:21" x14ac:dyDescent="0.55000000000000004">
      <c r="A22" s="71">
        <v>738</v>
      </c>
      <c r="C22" s="73">
        <v>13</v>
      </c>
      <c r="D22" s="73">
        <v>19</v>
      </c>
      <c r="F22" s="71">
        <v>145</v>
      </c>
      <c r="H22" s="72">
        <v>18.46</v>
      </c>
      <c r="I22" s="71" t="s">
        <v>139</v>
      </c>
      <c r="K22" s="71">
        <v>543</v>
      </c>
      <c r="M22" s="72">
        <v>16</v>
      </c>
      <c r="N22" s="71" t="s">
        <v>1</v>
      </c>
      <c r="R22" s="71">
        <v>145</v>
      </c>
      <c r="T22" s="72">
        <v>18.46</v>
      </c>
      <c r="U22" s="71" t="s">
        <v>139</v>
      </c>
    </row>
    <row r="23" spans="1:21" x14ac:dyDescent="0.55000000000000004">
      <c r="A23" s="71">
        <v>738</v>
      </c>
      <c r="C23" s="73">
        <v>13</v>
      </c>
      <c r="D23" s="73">
        <v>18.5</v>
      </c>
      <c r="F23" s="71">
        <v>145</v>
      </c>
      <c r="H23" s="72">
        <v>18.5</v>
      </c>
      <c r="I23" s="71" t="s">
        <v>139</v>
      </c>
      <c r="K23" s="71">
        <v>563</v>
      </c>
      <c r="M23" s="72">
        <v>16</v>
      </c>
      <c r="N23" s="71" t="s">
        <v>1</v>
      </c>
      <c r="R23" s="71">
        <v>145</v>
      </c>
      <c r="T23" s="72">
        <v>18.5</v>
      </c>
      <c r="U23" s="71" t="s">
        <v>139</v>
      </c>
    </row>
    <row r="24" spans="1:21" x14ac:dyDescent="0.55000000000000004">
      <c r="A24" s="71">
        <v>738</v>
      </c>
      <c r="C24" s="73">
        <v>13</v>
      </c>
      <c r="D24" s="73">
        <v>20.69</v>
      </c>
      <c r="F24" s="71">
        <v>145</v>
      </c>
      <c r="H24" s="72">
        <v>19.63</v>
      </c>
      <c r="I24" s="71" t="s">
        <v>139</v>
      </c>
      <c r="K24" s="71">
        <v>170</v>
      </c>
      <c r="M24" s="72">
        <v>16</v>
      </c>
      <c r="N24" s="71" t="s">
        <v>1</v>
      </c>
      <c r="R24" s="71">
        <v>145</v>
      </c>
      <c r="T24" s="72">
        <v>19.63</v>
      </c>
      <c r="U24" s="71" t="s">
        <v>139</v>
      </c>
    </row>
    <row r="25" spans="1:21" x14ac:dyDescent="0.55000000000000004">
      <c r="A25" s="71">
        <v>738</v>
      </c>
      <c r="C25" s="73">
        <v>13.13</v>
      </c>
      <c r="D25" s="73">
        <v>23.83</v>
      </c>
      <c r="F25" s="71">
        <v>145</v>
      </c>
      <c r="H25" s="72">
        <v>19.760000000000002</v>
      </c>
      <c r="I25" s="71" t="s">
        <v>139</v>
      </c>
      <c r="K25" s="71">
        <v>170</v>
      </c>
      <c r="M25" s="72">
        <v>16</v>
      </c>
      <c r="N25" s="71" t="s">
        <v>1</v>
      </c>
      <c r="R25" s="71">
        <v>145</v>
      </c>
      <c r="T25" s="72">
        <v>19.760000000000002</v>
      </c>
      <c r="U25" s="71" t="s">
        <v>139</v>
      </c>
    </row>
    <row r="26" spans="1:21" x14ac:dyDescent="0.55000000000000004">
      <c r="A26" s="71">
        <v>543</v>
      </c>
      <c r="C26" s="73">
        <v>13.23</v>
      </c>
      <c r="D26" s="73">
        <v>23.05</v>
      </c>
      <c r="F26" s="71">
        <v>145</v>
      </c>
      <c r="H26" s="72">
        <v>20.5</v>
      </c>
      <c r="I26" s="71" t="s">
        <v>139</v>
      </c>
      <c r="K26" s="71">
        <v>170</v>
      </c>
      <c r="M26" s="72">
        <v>16</v>
      </c>
      <c r="N26" s="71" t="s">
        <v>1</v>
      </c>
      <c r="R26" s="71">
        <v>145</v>
      </c>
      <c r="T26" s="72">
        <v>20.5</v>
      </c>
      <c r="U26" s="71" t="s">
        <v>139</v>
      </c>
    </row>
    <row r="27" spans="1:21" x14ac:dyDescent="0.55000000000000004">
      <c r="A27" s="71">
        <v>738</v>
      </c>
      <c r="C27" s="73">
        <v>13.26</v>
      </c>
      <c r="D27" s="73">
        <v>20.69</v>
      </c>
      <c r="F27" s="71">
        <v>145</v>
      </c>
      <c r="H27" s="72">
        <v>21.84</v>
      </c>
      <c r="I27" s="71" t="s">
        <v>139</v>
      </c>
      <c r="K27" s="71">
        <v>910</v>
      </c>
      <c r="M27" s="72">
        <v>16</v>
      </c>
      <c r="N27" s="71" t="s">
        <v>1</v>
      </c>
      <c r="R27" s="71">
        <v>145</v>
      </c>
      <c r="T27" s="72">
        <v>21.84</v>
      </c>
      <c r="U27" s="71" t="s">
        <v>139</v>
      </c>
    </row>
    <row r="28" spans="1:21" x14ac:dyDescent="0.55000000000000004">
      <c r="A28" s="71">
        <v>738</v>
      </c>
      <c r="C28" s="73">
        <v>13.39</v>
      </c>
      <c r="D28" s="73">
        <v>24.88</v>
      </c>
      <c r="F28" s="71">
        <v>145</v>
      </c>
      <c r="H28" s="72">
        <v>22</v>
      </c>
      <c r="I28" s="71" t="s">
        <v>139</v>
      </c>
      <c r="K28" s="71">
        <v>738</v>
      </c>
      <c r="M28" s="72">
        <v>16.079999999999998</v>
      </c>
      <c r="N28" s="71" t="s">
        <v>1</v>
      </c>
      <c r="R28" s="71">
        <v>145</v>
      </c>
      <c r="T28" s="72">
        <v>22</v>
      </c>
      <c r="U28" s="71" t="s">
        <v>139</v>
      </c>
    </row>
    <row r="29" spans="1:21" x14ac:dyDescent="0.55000000000000004">
      <c r="A29" s="71">
        <v>738</v>
      </c>
      <c r="C29" s="73">
        <v>13.39</v>
      </c>
      <c r="D29" s="73">
        <v>19.899999999999999</v>
      </c>
      <c r="F29" s="71">
        <v>156</v>
      </c>
      <c r="H29" s="72">
        <v>15.84</v>
      </c>
      <c r="I29" s="71" t="s">
        <v>139</v>
      </c>
      <c r="K29" s="71">
        <v>156</v>
      </c>
      <c r="M29" s="72">
        <v>16.100000000000001</v>
      </c>
      <c r="N29" s="71" t="s">
        <v>1</v>
      </c>
      <c r="R29" s="71">
        <v>156</v>
      </c>
      <c r="T29" s="72">
        <v>15.84</v>
      </c>
      <c r="U29" s="71" t="s">
        <v>139</v>
      </c>
    </row>
    <row r="30" spans="1:21" x14ac:dyDescent="0.55000000000000004">
      <c r="A30" s="71">
        <v>783</v>
      </c>
      <c r="C30" s="73">
        <v>13.42</v>
      </c>
      <c r="D30" s="73">
        <v>18.59</v>
      </c>
      <c r="F30" s="71">
        <v>156</v>
      </c>
      <c r="H30" s="72">
        <v>16.350000000000001</v>
      </c>
      <c r="I30" s="71" t="s">
        <v>139</v>
      </c>
      <c r="K30" s="71">
        <v>828</v>
      </c>
      <c r="M30" s="72">
        <v>16.18</v>
      </c>
      <c r="N30" s="71" t="s">
        <v>1</v>
      </c>
      <c r="R30" s="71">
        <v>156</v>
      </c>
      <c r="T30" s="72">
        <v>16.350000000000001</v>
      </c>
      <c r="U30" s="71" t="s">
        <v>139</v>
      </c>
    </row>
    <row r="31" spans="1:21" x14ac:dyDescent="0.55000000000000004">
      <c r="A31" s="71">
        <v>783</v>
      </c>
      <c r="C31" s="73">
        <v>13.42</v>
      </c>
      <c r="F31" s="71">
        <v>156</v>
      </c>
      <c r="H31" s="72">
        <v>16.55</v>
      </c>
      <c r="I31" s="71" t="s">
        <v>139</v>
      </c>
      <c r="K31" s="71">
        <v>828</v>
      </c>
      <c r="M31" s="72">
        <v>16.18</v>
      </c>
      <c r="N31" s="71" t="s">
        <v>1</v>
      </c>
      <c r="R31" s="71">
        <v>156</v>
      </c>
      <c r="T31" s="72">
        <v>16.55</v>
      </c>
      <c r="U31" s="71" t="s">
        <v>139</v>
      </c>
    </row>
    <row r="32" spans="1:21" x14ac:dyDescent="0.55000000000000004">
      <c r="A32" s="71">
        <v>783</v>
      </c>
      <c r="C32" s="73">
        <v>13.42</v>
      </c>
      <c r="F32" s="71">
        <v>156</v>
      </c>
      <c r="H32" s="72">
        <v>20.149999999999999</v>
      </c>
      <c r="I32" s="71" t="s">
        <v>139</v>
      </c>
      <c r="K32" s="71">
        <v>997</v>
      </c>
      <c r="M32" s="72">
        <v>16.214040000000001</v>
      </c>
      <c r="N32" s="71" t="s">
        <v>1</v>
      </c>
      <c r="R32" s="71">
        <v>156</v>
      </c>
      <c r="T32" s="72">
        <v>20.149999999999999</v>
      </c>
      <c r="U32" s="71" t="s">
        <v>139</v>
      </c>
    </row>
    <row r="33" spans="1:21" x14ac:dyDescent="0.55000000000000004">
      <c r="A33" s="71">
        <v>783</v>
      </c>
      <c r="C33" s="73">
        <v>13.42</v>
      </c>
      <c r="F33" s="71">
        <v>156</v>
      </c>
      <c r="H33" s="72">
        <v>22.73</v>
      </c>
      <c r="I33" s="71" t="s">
        <v>139</v>
      </c>
      <c r="K33" s="71">
        <v>143</v>
      </c>
      <c r="M33" s="72">
        <v>16.22</v>
      </c>
      <c r="N33" s="71" t="s">
        <v>1</v>
      </c>
      <c r="R33" s="71">
        <v>156</v>
      </c>
      <c r="T33" s="72">
        <v>22.73</v>
      </c>
      <c r="U33" s="71" t="s">
        <v>139</v>
      </c>
    </row>
    <row r="34" spans="1:21" x14ac:dyDescent="0.55000000000000004">
      <c r="A34" s="71">
        <v>783</v>
      </c>
      <c r="C34" s="73">
        <v>13.42</v>
      </c>
      <c r="D34" s="73">
        <v>21.01</v>
      </c>
      <c r="F34" s="71">
        <v>156</v>
      </c>
      <c r="H34" s="72">
        <v>26.56</v>
      </c>
      <c r="I34" s="71" t="s">
        <v>139</v>
      </c>
      <c r="K34" s="71">
        <v>421</v>
      </c>
      <c r="M34" s="72">
        <v>16.239999999999998</v>
      </c>
      <c r="N34" s="71" t="s">
        <v>1</v>
      </c>
      <c r="R34" s="71">
        <v>156</v>
      </c>
      <c r="T34" s="72">
        <v>26.56</v>
      </c>
      <c r="U34" s="71" t="s">
        <v>139</v>
      </c>
    </row>
    <row r="35" spans="1:21" x14ac:dyDescent="0.55000000000000004">
      <c r="A35" s="71">
        <v>543</v>
      </c>
      <c r="C35" s="73">
        <v>13.44</v>
      </c>
      <c r="D35" s="73">
        <v>20.25</v>
      </c>
      <c r="F35" s="71">
        <v>164</v>
      </c>
      <c r="H35" s="72">
        <v>15</v>
      </c>
      <c r="I35" s="71" t="s">
        <v>139</v>
      </c>
      <c r="K35" s="71">
        <v>604</v>
      </c>
      <c r="M35" s="72">
        <v>16.399999999999999</v>
      </c>
      <c r="N35" s="71" t="s">
        <v>1</v>
      </c>
      <c r="R35" s="71">
        <v>164</v>
      </c>
      <c r="T35" s="72">
        <v>15</v>
      </c>
      <c r="U35" s="71" t="s">
        <v>139</v>
      </c>
    </row>
    <row r="36" spans="1:21" x14ac:dyDescent="0.55000000000000004">
      <c r="A36" s="71">
        <v>543</v>
      </c>
      <c r="C36" s="73">
        <v>13.44</v>
      </c>
      <c r="D36" s="73">
        <v>20.83</v>
      </c>
      <c r="F36" s="71">
        <v>164</v>
      </c>
      <c r="H36" s="72">
        <v>15.3</v>
      </c>
      <c r="I36" s="71" t="s">
        <v>139</v>
      </c>
      <c r="K36" s="71">
        <v>479</v>
      </c>
      <c r="M36" s="72">
        <v>16.5</v>
      </c>
      <c r="N36" s="71" t="s">
        <v>1</v>
      </c>
      <c r="R36" s="71">
        <v>164</v>
      </c>
      <c r="T36" s="72">
        <v>15.3</v>
      </c>
      <c r="U36" s="71" t="s">
        <v>139</v>
      </c>
    </row>
    <row r="37" spans="1:21" x14ac:dyDescent="0.55000000000000004">
      <c r="A37" s="71">
        <v>824</v>
      </c>
      <c r="C37" s="73">
        <v>13.47</v>
      </c>
      <c r="D37" s="73">
        <v>22.23</v>
      </c>
      <c r="F37" s="71">
        <v>164</v>
      </c>
      <c r="H37" s="72">
        <v>15.61</v>
      </c>
      <c r="I37" s="71" t="s">
        <v>139</v>
      </c>
      <c r="K37" s="71">
        <v>701</v>
      </c>
      <c r="M37" s="72">
        <v>16.5</v>
      </c>
      <c r="N37" s="71" t="s">
        <v>1</v>
      </c>
      <c r="R37" s="71">
        <v>164</v>
      </c>
      <c r="T37" s="72">
        <v>15.61</v>
      </c>
      <c r="U37" s="71" t="s">
        <v>139</v>
      </c>
    </row>
    <row r="38" spans="1:21" x14ac:dyDescent="0.55000000000000004">
      <c r="A38" s="71">
        <v>824</v>
      </c>
      <c r="C38" s="73">
        <v>13.47</v>
      </c>
      <c r="D38" s="73">
        <v>26.98</v>
      </c>
      <c r="F38" s="71">
        <v>164</v>
      </c>
      <c r="H38" s="72">
        <v>15.61</v>
      </c>
      <c r="I38" s="71" t="s">
        <v>139</v>
      </c>
      <c r="K38" s="71">
        <v>701</v>
      </c>
      <c r="M38" s="72">
        <v>16.5</v>
      </c>
      <c r="N38" s="71" t="s">
        <v>1</v>
      </c>
      <c r="R38" s="71">
        <v>164</v>
      </c>
      <c r="T38" s="72">
        <v>15.61</v>
      </c>
      <c r="U38" s="71" t="s">
        <v>139</v>
      </c>
    </row>
    <row r="39" spans="1:21" x14ac:dyDescent="0.55000000000000004">
      <c r="A39" s="71">
        <v>824</v>
      </c>
      <c r="C39" s="73">
        <v>13.47</v>
      </c>
      <c r="D39" s="73">
        <v>22</v>
      </c>
      <c r="F39" s="71">
        <v>164</v>
      </c>
      <c r="H39" s="72">
        <v>15.61</v>
      </c>
      <c r="I39" s="71" t="s">
        <v>139</v>
      </c>
      <c r="K39" s="71">
        <v>910</v>
      </c>
      <c r="M39" s="72">
        <v>16.525218584725504</v>
      </c>
      <c r="N39" s="71" t="s">
        <v>1</v>
      </c>
      <c r="R39" s="71">
        <v>164</v>
      </c>
      <c r="T39" s="72">
        <v>15.61</v>
      </c>
      <c r="U39" s="71" t="s">
        <v>139</v>
      </c>
    </row>
    <row r="40" spans="1:21" x14ac:dyDescent="0.55000000000000004">
      <c r="A40" s="71">
        <v>500</v>
      </c>
      <c r="C40" s="75">
        <v>13.5</v>
      </c>
      <c r="D40" s="75">
        <v>24</v>
      </c>
      <c r="F40" s="71">
        <v>164</v>
      </c>
      <c r="H40" s="72">
        <v>15.92</v>
      </c>
      <c r="I40" s="71" t="s">
        <v>139</v>
      </c>
      <c r="K40" s="71">
        <v>901</v>
      </c>
      <c r="M40" s="72">
        <v>16.53</v>
      </c>
      <c r="N40" s="71" t="s">
        <v>1</v>
      </c>
      <c r="R40" s="71">
        <v>164</v>
      </c>
      <c r="T40" s="72">
        <v>15.92</v>
      </c>
      <c r="U40" s="71" t="s">
        <v>139</v>
      </c>
    </row>
    <row r="41" spans="1:21" x14ac:dyDescent="0.55000000000000004">
      <c r="A41" s="71">
        <v>500</v>
      </c>
      <c r="C41" s="75">
        <v>13.5</v>
      </c>
      <c r="D41" s="75">
        <v>23</v>
      </c>
      <c r="F41" s="71">
        <v>164</v>
      </c>
      <c r="H41" s="72">
        <v>20.59</v>
      </c>
      <c r="I41" s="71" t="s">
        <v>139</v>
      </c>
      <c r="K41" s="71">
        <v>828</v>
      </c>
      <c r="M41" s="72">
        <v>16.670000000000002</v>
      </c>
      <c r="N41" s="71" t="s">
        <v>1</v>
      </c>
      <c r="R41" s="71">
        <v>164</v>
      </c>
      <c r="T41" s="72">
        <v>20.59</v>
      </c>
      <c r="U41" s="71" t="s">
        <v>139</v>
      </c>
    </row>
    <row r="42" spans="1:21" x14ac:dyDescent="0.55000000000000004">
      <c r="A42" s="71">
        <v>500</v>
      </c>
      <c r="C42" s="75">
        <v>13.5</v>
      </c>
      <c r="D42" s="75">
        <v>21</v>
      </c>
      <c r="F42" s="71">
        <v>170</v>
      </c>
      <c r="H42" s="72">
        <v>15.5</v>
      </c>
      <c r="I42" s="71" t="s">
        <v>139</v>
      </c>
      <c r="K42" s="71">
        <v>828</v>
      </c>
      <c r="M42" s="72">
        <v>16.670000000000002</v>
      </c>
      <c r="N42" s="71" t="s">
        <v>1</v>
      </c>
      <c r="R42" s="71">
        <v>170</v>
      </c>
      <c r="T42" s="72">
        <v>15.5</v>
      </c>
      <c r="U42" s="71" t="s">
        <v>139</v>
      </c>
    </row>
    <row r="43" spans="1:21" x14ac:dyDescent="0.55000000000000004">
      <c r="A43" s="71">
        <v>500</v>
      </c>
      <c r="C43" s="75">
        <v>13.5</v>
      </c>
      <c r="D43" s="75">
        <v>19</v>
      </c>
      <c r="F43" s="71">
        <v>173</v>
      </c>
      <c r="H43" s="72">
        <v>16.899999999999999</v>
      </c>
      <c r="I43" s="71" t="s">
        <v>139</v>
      </c>
      <c r="K43" s="71">
        <v>646</v>
      </c>
      <c r="M43" s="72">
        <v>16.670000000000002</v>
      </c>
      <c r="N43" s="71" t="s">
        <v>1</v>
      </c>
      <c r="R43" s="71">
        <v>173</v>
      </c>
      <c r="T43" s="72">
        <v>16.899999999999999</v>
      </c>
      <c r="U43" s="71" t="s">
        <v>139</v>
      </c>
    </row>
    <row r="44" spans="1:21" x14ac:dyDescent="0.55000000000000004">
      <c r="A44" s="71">
        <v>500</v>
      </c>
      <c r="C44" s="75">
        <v>13.5</v>
      </c>
      <c r="D44" s="75">
        <v>22</v>
      </c>
      <c r="F44" s="71">
        <v>173</v>
      </c>
      <c r="H44" s="72">
        <v>16.899999999999999</v>
      </c>
      <c r="I44" s="71" t="s">
        <v>139</v>
      </c>
      <c r="K44" s="71">
        <v>543</v>
      </c>
      <c r="M44" s="72">
        <v>16.72</v>
      </c>
      <c r="N44" s="71" t="s">
        <v>1</v>
      </c>
      <c r="R44" s="71">
        <v>173</v>
      </c>
      <c r="T44" s="72">
        <v>16.899999999999999</v>
      </c>
      <c r="U44" s="71" t="s">
        <v>139</v>
      </c>
    </row>
    <row r="45" spans="1:21" x14ac:dyDescent="0.55000000000000004">
      <c r="A45" s="71">
        <v>500</v>
      </c>
      <c r="C45" s="75">
        <v>13.5</v>
      </c>
      <c r="D45" s="75">
        <v>26</v>
      </c>
      <c r="F45" s="71">
        <v>173</v>
      </c>
      <c r="H45" s="72">
        <v>16.899999999999999</v>
      </c>
      <c r="I45" s="71" t="s">
        <v>139</v>
      </c>
      <c r="K45" s="71">
        <v>421</v>
      </c>
      <c r="M45" s="72">
        <v>16.73</v>
      </c>
      <c r="N45" s="71" t="s">
        <v>1</v>
      </c>
      <c r="R45" s="71">
        <v>173</v>
      </c>
      <c r="T45" s="72">
        <v>16.899999999999999</v>
      </c>
      <c r="U45" s="71" t="s">
        <v>139</v>
      </c>
    </row>
    <row r="46" spans="1:21" x14ac:dyDescent="0.55000000000000004">
      <c r="A46" s="71">
        <v>500</v>
      </c>
      <c r="C46" s="75">
        <v>13.5</v>
      </c>
      <c r="D46" s="75">
        <v>23</v>
      </c>
      <c r="F46" s="71">
        <v>173</v>
      </c>
      <c r="H46" s="72">
        <v>16.899999999999999</v>
      </c>
      <c r="I46" s="71" t="s">
        <v>139</v>
      </c>
      <c r="K46" s="71">
        <v>997</v>
      </c>
      <c r="M46" s="72">
        <v>16.73404</v>
      </c>
      <c r="N46" s="71" t="s">
        <v>1</v>
      </c>
      <c r="R46" s="71">
        <v>173</v>
      </c>
      <c r="T46" s="72">
        <v>16.899999999999999</v>
      </c>
      <c r="U46" s="71" t="s">
        <v>139</v>
      </c>
    </row>
    <row r="47" spans="1:21" x14ac:dyDescent="0.55000000000000004">
      <c r="A47" s="71">
        <v>500</v>
      </c>
      <c r="C47" s="75">
        <v>13.5</v>
      </c>
      <c r="D47" s="75">
        <v>24</v>
      </c>
      <c r="F47" s="71">
        <v>173</v>
      </c>
      <c r="H47" s="72">
        <v>17.3</v>
      </c>
      <c r="I47" s="71" t="s">
        <v>139</v>
      </c>
      <c r="K47" s="71">
        <v>420</v>
      </c>
      <c r="M47" s="72">
        <v>16.75</v>
      </c>
      <c r="N47" s="71" t="s">
        <v>1</v>
      </c>
      <c r="R47" s="71">
        <v>173</v>
      </c>
      <c r="T47" s="72">
        <v>17.3</v>
      </c>
      <c r="U47" s="71" t="s">
        <v>139</v>
      </c>
    </row>
    <row r="48" spans="1:21" x14ac:dyDescent="0.55000000000000004">
      <c r="A48" s="71">
        <v>500</v>
      </c>
      <c r="C48" s="75">
        <v>13.5</v>
      </c>
      <c r="D48" s="75">
        <v>20.329999999999998</v>
      </c>
      <c r="F48" s="71">
        <v>173</v>
      </c>
      <c r="H48" s="72">
        <v>18.45</v>
      </c>
      <c r="I48" s="71" t="s">
        <v>139</v>
      </c>
      <c r="K48" s="71">
        <v>543</v>
      </c>
      <c r="M48" s="72">
        <v>16.79</v>
      </c>
      <c r="N48" s="71" t="s">
        <v>1</v>
      </c>
      <c r="R48" s="71">
        <v>173</v>
      </c>
      <c r="T48" s="72">
        <v>18.45</v>
      </c>
      <c r="U48" s="71" t="s">
        <v>139</v>
      </c>
    </row>
    <row r="49" spans="1:21" x14ac:dyDescent="0.55000000000000004">
      <c r="A49" s="71">
        <v>500</v>
      </c>
      <c r="C49" s="75">
        <v>13.5</v>
      </c>
      <c r="D49" s="75"/>
      <c r="F49" s="71">
        <v>173</v>
      </c>
      <c r="H49" s="72">
        <v>18.45</v>
      </c>
      <c r="I49" s="71" t="s">
        <v>139</v>
      </c>
      <c r="K49" s="71">
        <v>997</v>
      </c>
      <c r="M49" s="72">
        <v>16.89404</v>
      </c>
      <c r="N49" s="71" t="s">
        <v>1</v>
      </c>
      <c r="R49" s="71">
        <v>173</v>
      </c>
      <c r="T49" s="72">
        <v>18.45</v>
      </c>
      <c r="U49" s="71" t="s">
        <v>139</v>
      </c>
    </row>
    <row r="50" spans="1:21" x14ac:dyDescent="0.55000000000000004">
      <c r="A50" s="71">
        <v>500</v>
      </c>
      <c r="C50" s="75">
        <v>13.5</v>
      </c>
      <c r="D50" s="75"/>
      <c r="F50" s="71">
        <v>173</v>
      </c>
      <c r="H50" s="72">
        <v>19.8</v>
      </c>
      <c r="I50" s="71" t="s">
        <v>139</v>
      </c>
      <c r="K50" s="71">
        <v>783</v>
      </c>
      <c r="M50" s="72">
        <v>16.91</v>
      </c>
      <c r="N50" s="71" t="s">
        <v>1</v>
      </c>
      <c r="R50" s="71">
        <v>173</v>
      </c>
      <c r="T50" s="72">
        <v>19.8</v>
      </c>
      <c r="U50" s="71" t="s">
        <v>139</v>
      </c>
    </row>
    <row r="51" spans="1:21" x14ac:dyDescent="0.55000000000000004">
      <c r="A51" s="71">
        <v>500</v>
      </c>
      <c r="C51" s="75">
        <v>13.5</v>
      </c>
      <c r="D51" s="75"/>
      <c r="F51" s="71">
        <v>173</v>
      </c>
      <c r="H51" s="72">
        <v>19.899999999999999</v>
      </c>
      <c r="I51" s="71" t="s">
        <v>139</v>
      </c>
      <c r="K51" s="71">
        <v>951</v>
      </c>
      <c r="M51" s="72">
        <v>17</v>
      </c>
      <c r="N51" s="71" t="s">
        <v>1</v>
      </c>
      <c r="R51" s="71">
        <v>173</v>
      </c>
      <c r="T51" s="72">
        <v>19.899999999999999</v>
      </c>
      <c r="U51" s="71" t="s">
        <v>139</v>
      </c>
    </row>
    <row r="52" spans="1:21" x14ac:dyDescent="0.55000000000000004">
      <c r="A52" s="71">
        <v>658</v>
      </c>
      <c r="C52" s="73">
        <v>13.53</v>
      </c>
      <c r="F52" s="71">
        <v>173</v>
      </c>
      <c r="H52" s="72">
        <v>20.399999999999999</v>
      </c>
      <c r="I52" s="71" t="s">
        <v>139</v>
      </c>
      <c r="K52" s="71">
        <v>928</v>
      </c>
      <c r="M52" s="72">
        <v>17</v>
      </c>
      <c r="N52" s="71" t="s">
        <v>1</v>
      </c>
      <c r="R52" s="71">
        <v>173</v>
      </c>
      <c r="T52" s="72">
        <v>20.399999999999999</v>
      </c>
      <c r="U52" s="71" t="s">
        <v>139</v>
      </c>
    </row>
    <row r="53" spans="1:21" x14ac:dyDescent="0.55000000000000004">
      <c r="A53" s="71">
        <v>959</v>
      </c>
      <c r="C53" s="73">
        <v>13.69</v>
      </c>
      <c r="D53" s="73">
        <v>17.690000000000001</v>
      </c>
      <c r="F53" s="71">
        <v>173</v>
      </c>
      <c r="H53" s="72">
        <v>20.399999999999999</v>
      </c>
      <c r="I53" s="71" t="s">
        <v>139</v>
      </c>
      <c r="K53" s="71">
        <v>346</v>
      </c>
      <c r="M53" s="72">
        <v>17</v>
      </c>
      <c r="N53" s="71" t="s">
        <v>1</v>
      </c>
      <c r="R53" s="71">
        <v>173</v>
      </c>
      <c r="T53" s="72">
        <v>20.399999999999999</v>
      </c>
      <c r="U53" s="71" t="s">
        <v>139</v>
      </c>
    </row>
    <row r="54" spans="1:21" x14ac:dyDescent="0.55000000000000004">
      <c r="A54" s="71">
        <v>783</v>
      </c>
      <c r="C54" s="73">
        <v>13.7</v>
      </c>
      <c r="D54" s="73">
        <v>17.690000000000001</v>
      </c>
      <c r="F54" s="71">
        <v>173</v>
      </c>
      <c r="H54" s="72">
        <v>20.7</v>
      </c>
      <c r="I54" s="71" t="s">
        <v>139</v>
      </c>
      <c r="K54" s="71">
        <v>234</v>
      </c>
      <c r="M54" s="72">
        <v>17</v>
      </c>
      <c r="N54" s="71" t="s">
        <v>1</v>
      </c>
      <c r="R54" s="71">
        <v>173</v>
      </c>
      <c r="T54" s="72">
        <v>20.7</v>
      </c>
      <c r="U54" s="71" t="s">
        <v>139</v>
      </c>
    </row>
    <row r="55" spans="1:21" x14ac:dyDescent="0.55000000000000004">
      <c r="A55" s="71">
        <v>783</v>
      </c>
      <c r="C55" s="73">
        <v>13.7</v>
      </c>
      <c r="D55" s="73">
        <v>18.399999999999999</v>
      </c>
      <c r="F55" s="71">
        <v>178</v>
      </c>
      <c r="H55" s="72">
        <v>16.2</v>
      </c>
      <c r="I55" s="71" t="s">
        <v>139</v>
      </c>
      <c r="K55" s="71">
        <v>234</v>
      </c>
      <c r="M55" s="72">
        <v>17</v>
      </c>
      <c r="N55" s="71" t="s">
        <v>1</v>
      </c>
      <c r="R55" s="71">
        <v>178</v>
      </c>
      <c r="T55" s="72">
        <v>16.2</v>
      </c>
      <c r="U55" s="71" t="s">
        <v>139</v>
      </c>
    </row>
    <row r="56" spans="1:21" x14ac:dyDescent="0.55000000000000004">
      <c r="A56" s="71">
        <v>500</v>
      </c>
      <c r="C56" s="75">
        <v>13.75</v>
      </c>
      <c r="D56" s="75">
        <v>19.14</v>
      </c>
      <c r="F56" s="71">
        <v>178</v>
      </c>
      <c r="H56" s="72">
        <v>16.2</v>
      </c>
      <c r="I56" s="71" t="s">
        <v>139</v>
      </c>
      <c r="K56" s="71">
        <v>560</v>
      </c>
      <c r="M56" s="72">
        <v>17</v>
      </c>
      <c r="N56" s="71" t="s">
        <v>1</v>
      </c>
      <c r="R56" s="71">
        <v>178</v>
      </c>
      <c r="T56" s="72">
        <v>16.2</v>
      </c>
      <c r="U56" s="71" t="s">
        <v>139</v>
      </c>
    </row>
    <row r="57" spans="1:21" x14ac:dyDescent="0.55000000000000004">
      <c r="A57" s="71">
        <v>500</v>
      </c>
      <c r="C57" s="75">
        <v>13.75</v>
      </c>
      <c r="D57" s="75">
        <v>19.920000000000002</v>
      </c>
      <c r="F57" s="71">
        <v>178</v>
      </c>
      <c r="H57" s="72">
        <v>16.2</v>
      </c>
      <c r="I57" s="71" t="s">
        <v>139</v>
      </c>
      <c r="K57" s="71">
        <v>351</v>
      </c>
      <c r="M57" s="72">
        <v>17</v>
      </c>
      <c r="N57" s="71" t="s">
        <v>1</v>
      </c>
      <c r="R57" s="71">
        <v>178</v>
      </c>
      <c r="T57" s="72">
        <v>16.2</v>
      </c>
      <c r="U57" s="71" t="s">
        <v>139</v>
      </c>
    </row>
    <row r="58" spans="1:21" x14ac:dyDescent="0.55000000000000004">
      <c r="A58" s="71">
        <v>997</v>
      </c>
      <c r="C58" s="74">
        <v>13.854039999999999</v>
      </c>
      <c r="D58" s="74">
        <v>20.32</v>
      </c>
      <c r="F58" s="71">
        <v>178</v>
      </c>
      <c r="H58" s="72">
        <v>16.2</v>
      </c>
      <c r="I58" s="71" t="s">
        <v>139</v>
      </c>
      <c r="K58" s="71">
        <v>658</v>
      </c>
      <c r="M58" s="72">
        <v>17</v>
      </c>
      <c r="N58" s="71" t="s">
        <v>1</v>
      </c>
      <c r="R58" s="71">
        <v>178</v>
      </c>
      <c r="T58" s="72">
        <v>16.2</v>
      </c>
      <c r="U58" s="71" t="s">
        <v>139</v>
      </c>
    </row>
    <row r="59" spans="1:21" x14ac:dyDescent="0.55000000000000004">
      <c r="A59" s="71">
        <v>997</v>
      </c>
      <c r="C59" s="74">
        <v>13.854039999999999</v>
      </c>
      <c r="D59" s="74">
        <v>23.34</v>
      </c>
      <c r="F59" s="71">
        <v>178</v>
      </c>
      <c r="H59" s="72">
        <v>16.2</v>
      </c>
      <c r="I59" s="71" t="s">
        <v>139</v>
      </c>
      <c r="K59" s="71">
        <v>910</v>
      </c>
      <c r="M59" s="72">
        <v>17</v>
      </c>
      <c r="N59" s="71" t="s">
        <v>1</v>
      </c>
      <c r="R59" s="71">
        <v>178</v>
      </c>
      <c r="T59" s="72">
        <v>16.2</v>
      </c>
      <c r="U59" s="71" t="s">
        <v>139</v>
      </c>
    </row>
    <row r="60" spans="1:21" x14ac:dyDescent="0.55000000000000004">
      <c r="A60" s="71">
        <v>783</v>
      </c>
      <c r="C60" s="73">
        <v>13.9702</v>
      </c>
      <c r="D60" s="73">
        <v>23.34</v>
      </c>
      <c r="F60" s="71">
        <v>178</v>
      </c>
      <c r="H60" s="72">
        <v>16.2</v>
      </c>
      <c r="I60" s="71" t="s">
        <v>139</v>
      </c>
      <c r="K60" s="71">
        <v>910</v>
      </c>
      <c r="M60" s="72">
        <v>17</v>
      </c>
      <c r="N60" s="71" t="s">
        <v>1</v>
      </c>
      <c r="R60" s="71">
        <v>178</v>
      </c>
      <c r="T60" s="72">
        <v>16.2</v>
      </c>
      <c r="U60" s="71" t="s">
        <v>139</v>
      </c>
    </row>
    <row r="61" spans="1:21" x14ac:dyDescent="0.55000000000000004">
      <c r="A61" s="71">
        <v>423</v>
      </c>
      <c r="C61" s="73">
        <v>14</v>
      </c>
      <c r="D61" s="73">
        <v>17.25</v>
      </c>
      <c r="F61" s="71">
        <v>178</v>
      </c>
      <c r="H61" s="72">
        <v>16.2</v>
      </c>
      <c r="I61" s="71" t="s">
        <v>139</v>
      </c>
      <c r="K61" s="71">
        <v>500</v>
      </c>
      <c r="M61" s="72">
        <v>17</v>
      </c>
      <c r="N61" s="71" t="s">
        <v>1</v>
      </c>
      <c r="R61" s="71">
        <v>178</v>
      </c>
      <c r="T61" s="72">
        <v>16.2</v>
      </c>
      <c r="U61" s="71" t="s">
        <v>139</v>
      </c>
    </row>
    <row r="62" spans="1:21" x14ac:dyDescent="0.55000000000000004">
      <c r="A62" s="71">
        <v>423</v>
      </c>
      <c r="C62" s="73">
        <v>14</v>
      </c>
      <c r="D62" s="73">
        <v>17</v>
      </c>
      <c r="F62" s="71">
        <v>178</v>
      </c>
      <c r="H62" s="72">
        <v>16.2</v>
      </c>
      <c r="I62" s="71" t="s">
        <v>139</v>
      </c>
      <c r="K62" s="71">
        <v>222</v>
      </c>
      <c r="M62" s="72">
        <v>17.02</v>
      </c>
      <c r="N62" s="71" t="s">
        <v>1</v>
      </c>
      <c r="R62" s="71">
        <v>178</v>
      </c>
      <c r="T62" s="72">
        <v>16.2</v>
      </c>
      <c r="U62" s="71" t="s">
        <v>139</v>
      </c>
    </row>
    <row r="63" spans="1:21" x14ac:dyDescent="0.55000000000000004">
      <c r="A63" s="71">
        <v>423</v>
      </c>
      <c r="C63" s="73">
        <v>14</v>
      </c>
      <c r="D63" s="73">
        <v>17.7</v>
      </c>
      <c r="F63" s="71">
        <v>178</v>
      </c>
      <c r="H63" s="72">
        <v>16.2</v>
      </c>
      <c r="I63" s="71" t="s">
        <v>139</v>
      </c>
      <c r="K63" s="71">
        <v>606</v>
      </c>
      <c r="M63" s="72">
        <v>17.059999999999999</v>
      </c>
      <c r="N63" s="71" t="s">
        <v>1</v>
      </c>
      <c r="R63" s="71">
        <v>178</v>
      </c>
      <c r="T63" s="72">
        <v>16.2</v>
      </c>
      <c r="U63" s="71" t="s">
        <v>139</v>
      </c>
    </row>
    <row r="64" spans="1:21" x14ac:dyDescent="0.55000000000000004">
      <c r="A64" s="71">
        <v>423</v>
      </c>
      <c r="C64" s="73">
        <v>14</v>
      </c>
      <c r="D64" s="73">
        <v>20</v>
      </c>
      <c r="F64" s="71">
        <v>178</v>
      </c>
      <c r="H64" s="72">
        <v>16.2</v>
      </c>
      <c r="I64" s="71" t="s">
        <v>139</v>
      </c>
      <c r="K64" s="71">
        <v>543</v>
      </c>
      <c r="M64" s="72">
        <v>17.190000000000001</v>
      </c>
      <c r="N64" s="71" t="s">
        <v>1</v>
      </c>
      <c r="R64" s="71">
        <v>178</v>
      </c>
      <c r="T64" s="72">
        <v>16.2</v>
      </c>
      <c r="U64" s="71" t="s">
        <v>139</v>
      </c>
    </row>
    <row r="65" spans="1:21" x14ac:dyDescent="0.55000000000000004">
      <c r="A65" s="71">
        <v>826</v>
      </c>
      <c r="C65" s="73">
        <v>14</v>
      </c>
      <c r="D65" s="73">
        <v>17.25</v>
      </c>
      <c r="F65" s="71">
        <v>178</v>
      </c>
      <c r="H65" s="72">
        <v>16.2</v>
      </c>
      <c r="I65" s="71" t="s">
        <v>139</v>
      </c>
      <c r="K65" s="71">
        <v>984</v>
      </c>
      <c r="M65" s="72">
        <v>17.22</v>
      </c>
      <c r="N65" s="71" t="s">
        <v>1</v>
      </c>
      <c r="R65" s="71">
        <v>178</v>
      </c>
      <c r="T65" s="72">
        <v>16.2</v>
      </c>
      <c r="U65" s="71" t="s">
        <v>139</v>
      </c>
    </row>
    <row r="66" spans="1:21" x14ac:dyDescent="0.55000000000000004">
      <c r="A66" s="71">
        <v>420</v>
      </c>
      <c r="C66" s="73">
        <v>14</v>
      </c>
      <c r="D66" s="73">
        <v>17.899999999999999</v>
      </c>
      <c r="F66" s="71">
        <v>178</v>
      </c>
      <c r="H66" s="72">
        <v>16.2</v>
      </c>
      <c r="I66" s="71" t="s">
        <v>139</v>
      </c>
      <c r="K66" s="71">
        <v>984</v>
      </c>
      <c r="M66" s="72">
        <v>17.22</v>
      </c>
      <c r="N66" s="71" t="s">
        <v>1</v>
      </c>
      <c r="R66" s="71">
        <v>178</v>
      </c>
      <c r="T66" s="72">
        <v>16.2</v>
      </c>
      <c r="U66" s="71" t="s">
        <v>139</v>
      </c>
    </row>
    <row r="67" spans="1:21" x14ac:dyDescent="0.55000000000000004">
      <c r="A67" s="71">
        <v>212</v>
      </c>
      <c r="C67" s="73">
        <v>14</v>
      </c>
      <c r="D67" s="73">
        <v>20</v>
      </c>
      <c r="F67" s="71">
        <v>178</v>
      </c>
      <c r="H67" s="72">
        <v>16.2</v>
      </c>
      <c r="I67" s="71" t="s">
        <v>139</v>
      </c>
      <c r="K67" s="71">
        <v>951</v>
      </c>
      <c r="M67" s="72">
        <v>17.25</v>
      </c>
      <c r="N67" s="71" t="s">
        <v>1</v>
      </c>
      <c r="R67" s="71">
        <v>178</v>
      </c>
      <c r="T67" s="72">
        <v>16.2</v>
      </c>
      <c r="U67" s="71" t="s">
        <v>139</v>
      </c>
    </row>
    <row r="68" spans="1:21" x14ac:dyDescent="0.55000000000000004">
      <c r="A68" s="71">
        <v>212</v>
      </c>
      <c r="C68" s="73">
        <v>14</v>
      </c>
      <c r="D68" s="73">
        <v>18.149999999999999</v>
      </c>
      <c r="F68" s="71">
        <v>178</v>
      </c>
      <c r="H68" s="72">
        <v>16.2</v>
      </c>
      <c r="I68" s="71" t="s">
        <v>139</v>
      </c>
      <c r="K68" s="71">
        <v>951</v>
      </c>
      <c r="M68" s="72">
        <v>17.25</v>
      </c>
      <c r="N68" s="71" t="s">
        <v>1</v>
      </c>
      <c r="R68" s="71">
        <v>178</v>
      </c>
      <c r="T68" s="72">
        <v>16.2</v>
      </c>
      <c r="U68" s="71" t="s">
        <v>139</v>
      </c>
    </row>
    <row r="69" spans="1:21" x14ac:dyDescent="0.55000000000000004">
      <c r="A69" s="71">
        <v>212</v>
      </c>
      <c r="C69" s="73">
        <v>14</v>
      </c>
      <c r="F69" s="71">
        <v>178</v>
      </c>
      <c r="H69" s="72">
        <v>16.2</v>
      </c>
      <c r="I69" s="71" t="s">
        <v>139</v>
      </c>
      <c r="K69" s="71">
        <v>143</v>
      </c>
      <c r="M69" s="72">
        <v>17.25</v>
      </c>
      <c r="N69" s="71" t="s">
        <v>1</v>
      </c>
      <c r="R69" s="71">
        <v>178</v>
      </c>
      <c r="T69" s="72">
        <v>16.2</v>
      </c>
      <c r="U69" s="71" t="s">
        <v>139</v>
      </c>
    </row>
    <row r="70" spans="1:21" x14ac:dyDescent="0.55000000000000004">
      <c r="A70" s="71">
        <v>212</v>
      </c>
      <c r="C70" s="73">
        <v>14</v>
      </c>
      <c r="F70" s="71">
        <v>178</v>
      </c>
      <c r="H70" s="72">
        <v>16.2</v>
      </c>
      <c r="I70" s="71" t="s">
        <v>139</v>
      </c>
      <c r="K70" s="71">
        <v>728</v>
      </c>
      <c r="M70" s="72">
        <v>17.309999999999999</v>
      </c>
      <c r="N70" s="71" t="s">
        <v>1</v>
      </c>
      <c r="R70" s="71">
        <v>178</v>
      </c>
      <c r="T70" s="72">
        <v>16.2</v>
      </c>
      <c r="U70" s="71" t="s">
        <v>139</v>
      </c>
    </row>
    <row r="71" spans="1:21" x14ac:dyDescent="0.55000000000000004">
      <c r="A71" s="71">
        <v>212</v>
      </c>
      <c r="C71" s="73">
        <v>14</v>
      </c>
      <c r="F71" s="71">
        <v>178</v>
      </c>
      <c r="H71" s="72">
        <v>16.2</v>
      </c>
      <c r="I71" s="71" t="s">
        <v>139</v>
      </c>
      <c r="K71" s="71">
        <v>351</v>
      </c>
      <c r="M71" s="72">
        <v>17.329999999999998</v>
      </c>
      <c r="N71" s="71" t="s">
        <v>1</v>
      </c>
      <c r="R71" s="71">
        <v>178</v>
      </c>
      <c r="T71" s="72">
        <v>16.2</v>
      </c>
      <c r="U71" s="71" t="s">
        <v>139</v>
      </c>
    </row>
    <row r="72" spans="1:21" x14ac:dyDescent="0.55000000000000004">
      <c r="A72" s="71">
        <v>212</v>
      </c>
      <c r="C72" s="73">
        <v>14</v>
      </c>
      <c r="F72" s="71">
        <v>178</v>
      </c>
      <c r="H72" s="72">
        <v>16.2</v>
      </c>
      <c r="I72" s="71" t="s">
        <v>139</v>
      </c>
      <c r="K72" s="71">
        <v>572</v>
      </c>
      <c r="M72" s="72">
        <v>17.36</v>
      </c>
      <c r="N72" s="71" t="s">
        <v>1</v>
      </c>
      <c r="R72" s="71">
        <v>178</v>
      </c>
      <c r="T72" s="72">
        <v>16.2</v>
      </c>
      <c r="U72" s="71" t="s">
        <v>139</v>
      </c>
    </row>
    <row r="73" spans="1:21" x14ac:dyDescent="0.55000000000000004">
      <c r="A73" s="71">
        <v>421</v>
      </c>
      <c r="C73" s="73">
        <v>14.06</v>
      </c>
      <c r="F73" s="71">
        <v>178</v>
      </c>
      <c r="H73" s="72">
        <v>17.29</v>
      </c>
      <c r="I73" s="71" t="s">
        <v>139</v>
      </c>
      <c r="K73" s="71">
        <v>572</v>
      </c>
      <c r="M73" s="72">
        <v>17.36</v>
      </c>
      <c r="N73" s="71" t="s">
        <v>1</v>
      </c>
      <c r="R73" s="71">
        <v>178</v>
      </c>
      <c r="T73" s="72">
        <v>17.29</v>
      </c>
      <c r="U73" s="71" t="s">
        <v>139</v>
      </c>
    </row>
    <row r="74" spans="1:21" x14ac:dyDescent="0.55000000000000004">
      <c r="A74" s="71">
        <v>421</v>
      </c>
      <c r="C74" s="73">
        <v>14.06</v>
      </c>
      <c r="F74" s="71">
        <v>178</v>
      </c>
      <c r="H74" s="72">
        <v>17.41</v>
      </c>
      <c r="I74" s="71" t="s">
        <v>139</v>
      </c>
      <c r="K74" s="71">
        <v>572</v>
      </c>
      <c r="M74" s="72">
        <v>17.36</v>
      </c>
      <c r="N74" s="71" t="s">
        <v>1</v>
      </c>
      <c r="R74" s="71">
        <v>178</v>
      </c>
      <c r="T74" s="72">
        <v>17.41</v>
      </c>
      <c r="U74" s="71" t="s">
        <v>139</v>
      </c>
    </row>
    <row r="75" spans="1:21" x14ac:dyDescent="0.55000000000000004">
      <c r="A75" s="71">
        <v>824</v>
      </c>
      <c r="C75" s="73">
        <v>14.06</v>
      </c>
      <c r="F75" s="71">
        <v>178</v>
      </c>
      <c r="H75" s="72">
        <v>19.149999999999999</v>
      </c>
      <c r="I75" s="71" t="s">
        <v>139</v>
      </c>
      <c r="K75" s="71">
        <v>313</v>
      </c>
      <c r="M75" s="72">
        <v>17.437000000000001</v>
      </c>
      <c r="N75" s="71" t="s">
        <v>1</v>
      </c>
      <c r="R75" s="71">
        <v>178</v>
      </c>
      <c r="T75" s="72">
        <v>19.149999999999999</v>
      </c>
      <c r="U75" s="71" t="s">
        <v>139</v>
      </c>
    </row>
    <row r="76" spans="1:21" x14ac:dyDescent="0.55000000000000004">
      <c r="A76" s="71">
        <v>824</v>
      </c>
      <c r="C76" s="73">
        <v>14.06</v>
      </c>
      <c r="D76" s="73">
        <v>15.42</v>
      </c>
      <c r="F76" s="71">
        <v>178</v>
      </c>
      <c r="H76" s="72">
        <v>19.149999999999999</v>
      </c>
      <c r="I76" s="71" t="s">
        <v>139</v>
      </c>
      <c r="K76" s="71">
        <v>421</v>
      </c>
      <c r="M76" s="72">
        <v>17.5</v>
      </c>
      <c r="N76" s="71" t="s">
        <v>1</v>
      </c>
      <c r="R76" s="71">
        <v>178</v>
      </c>
      <c r="T76" s="72">
        <v>19.149999999999999</v>
      </c>
      <c r="U76" s="71" t="s">
        <v>139</v>
      </c>
    </row>
    <row r="77" spans="1:21" x14ac:dyDescent="0.55000000000000004">
      <c r="A77" s="71">
        <v>824</v>
      </c>
      <c r="C77" s="73">
        <v>14.06</v>
      </c>
      <c r="D77" s="73">
        <v>16.91</v>
      </c>
      <c r="F77" s="71">
        <v>183</v>
      </c>
      <c r="H77" s="72">
        <v>17.899999999999999</v>
      </c>
      <c r="I77" s="71" t="s">
        <v>139</v>
      </c>
      <c r="K77" s="71">
        <v>423</v>
      </c>
      <c r="M77" s="72">
        <v>17.5</v>
      </c>
      <c r="N77" s="71" t="s">
        <v>1</v>
      </c>
      <c r="R77" s="71">
        <v>183</v>
      </c>
      <c r="T77" s="72">
        <v>17.899999999999999</v>
      </c>
      <c r="U77" s="71" t="s">
        <v>139</v>
      </c>
    </row>
    <row r="78" spans="1:21" x14ac:dyDescent="0.55000000000000004">
      <c r="A78" s="71">
        <v>783</v>
      </c>
      <c r="C78" s="73">
        <v>14.076000000000001</v>
      </c>
      <c r="D78" s="73">
        <v>18.374400000000001</v>
      </c>
      <c r="F78" s="71">
        <v>183</v>
      </c>
      <c r="H78" s="72">
        <v>18.5</v>
      </c>
      <c r="I78" s="71" t="s">
        <v>139</v>
      </c>
      <c r="K78" s="71">
        <v>423</v>
      </c>
      <c r="M78" s="72">
        <v>17.5</v>
      </c>
      <c r="N78" s="71" t="s">
        <v>1</v>
      </c>
      <c r="R78" s="71">
        <v>183</v>
      </c>
      <c r="T78" s="72">
        <v>18.5</v>
      </c>
      <c r="U78" s="71" t="s">
        <v>139</v>
      </c>
    </row>
    <row r="79" spans="1:21" x14ac:dyDescent="0.55000000000000004">
      <c r="A79" s="71">
        <v>658</v>
      </c>
      <c r="C79" s="73">
        <v>14.09</v>
      </c>
      <c r="D79" s="73">
        <v>21.084299999999999</v>
      </c>
      <c r="F79" s="71">
        <v>183</v>
      </c>
      <c r="H79" s="72">
        <v>18.64</v>
      </c>
      <c r="I79" s="71" t="s">
        <v>139</v>
      </c>
      <c r="K79" s="71">
        <v>234</v>
      </c>
      <c r="M79" s="72">
        <v>17.5</v>
      </c>
      <c r="N79" s="71" t="s">
        <v>1</v>
      </c>
      <c r="R79" s="71">
        <v>183</v>
      </c>
      <c r="T79" s="72">
        <v>18.64</v>
      </c>
      <c r="U79" s="71" t="s">
        <v>139</v>
      </c>
    </row>
    <row r="80" spans="1:21" x14ac:dyDescent="0.55000000000000004">
      <c r="A80" s="71">
        <v>756</v>
      </c>
      <c r="C80" s="75">
        <v>14.14</v>
      </c>
      <c r="D80" s="75"/>
      <c r="F80" s="71">
        <v>183</v>
      </c>
      <c r="H80" s="72">
        <v>19.03</v>
      </c>
      <c r="I80" s="71" t="s">
        <v>139</v>
      </c>
      <c r="K80" s="71">
        <v>510</v>
      </c>
      <c r="M80" s="72">
        <v>17.5</v>
      </c>
      <c r="N80" s="71" t="s">
        <v>1</v>
      </c>
      <c r="R80" s="71">
        <v>183</v>
      </c>
      <c r="T80" s="72">
        <v>19.03</v>
      </c>
      <c r="U80" s="71" t="s">
        <v>139</v>
      </c>
    </row>
    <row r="81" spans="1:21" x14ac:dyDescent="0.55000000000000004">
      <c r="A81" s="71">
        <v>777</v>
      </c>
      <c r="C81" s="73">
        <v>14.18</v>
      </c>
      <c r="F81" s="71">
        <v>183</v>
      </c>
      <c r="H81" s="72">
        <v>20.76</v>
      </c>
      <c r="I81" s="71" t="s">
        <v>139</v>
      </c>
      <c r="K81" s="71">
        <v>959</v>
      </c>
      <c r="M81" s="72">
        <v>17.5</v>
      </c>
      <c r="N81" s="71" t="s">
        <v>1</v>
      </c>
      <c r="R81" s="71">
        <v>183</v>
      </c>
      <c r="T81" s="72">
        <v>20.76</v>
      </c>
      <c r="U81" s="71" t="s">
        <v>139</v>
      </c>
    </row>
    <row r="82" spans="1:21" x14ac:dyDescent="0.55000000000000004">
      <c r="A82" s="71">
        <v>910</v>
      </c>
      <c r="C82" s="73">
        <v>14.249883567342771</v>
      </c>
      <c r="F82" s="71">
        <v>203</v>
      </c>
      <c r="H82" s="72">
        <v>15</v>
      </c>
      <c r="I82" s="71" t="s">
        <v>139</v>
      </c>
      <c r="K82" s="71">
        <v>156</v>
      </c>
      <c r="M82" s="72">
        <v>17.5</v>
      </c>
      <c r="N82" s="71" t="s">
        <v>1</v>
      </c>
      <c r="R82" s="71">
        <v>203</v>
      </c>
      <c r="T82" s="72">
        <v>15</v>
      </c>
      <c r="U82" s="71" t="s">
        <v>139</v>
      </c>
    </row>
    <row r="83" spans="1:21" x14ac:dyDescent="0.55000000000000004">
      <c r="A83" s="71">
        <v>910</v>
      </c>
      <c r="C83" s="73">
        <v>14.249940965633565</v>
      </c>
      <c r="F83" s="71">
        <v>203</v>
      </c>
      <c r="H83" s="72">
        <v>15.15</v>
      </c>
      <c r="I83" s="71" t="s">
        <v>139</v>
      </c>
      <c r="K83" s="71">
        <v>288</v>
      </c>
      <c r="M83" s="72">
        <v>17.5</v>
      </c>
      <c r="N83" s="71" t="s">
        <v>1</v>
      </c>
      <c r="R83" s="71">
        <v>203</v>
      </c>
      <c r="T83" s="72">
        <v>15.15</v>
      </c>
      <c r="U83" s="71" t="s">
        <v>139</v>
      </c>
    </row>
    <row r="84" spans="1:21" x14ac:dyDescent="0.55000000000000004">
      <c r="A84" s="71">
        <v>500</v>
      </c>
      <c r="C84" s="75">
        <v>14.25</v>
      </c>
      <c r="D84" s="75"/>
      <c r="F84" s="71">
        <v>203</v>
      </c>
      <c r="H84" s="72">
        <v>15.15</v>
      </c>
      <c r="I84" s="71" t="s">
        <v>139</v>
      </c>
      <c r="K84" s="71">
        <v>701</v>
      </c>
      <c r="M84" s="72">
        <v>17.5</v>
      </c>
      <c r="N84" s="71" t="s">
        <v>1</v>
      </c>
      <c r="R84" s="71">
        <v>203</v>
      </c>
      <c r="T84" s="72">
        <v>15.15</v>
      </c>
      <c r="U84" s="71" t="s">
        <v>139</v>
      </c>
    </row>
    <row r="85" spans="1:21" x14ac:dyDescent="0.55000000000000004">
      <c r="A85" s="71">
        <v>277</v>
      </c>
      <c r="C85" s="73">
        <v>14.36</v>
      </c>
      <c r="F85" s="71">
        <v>203</v>
      </c>
      <c r="H85" s="72">
        <v>15.15</v>
      </c>
      <c r="I85" s="71" t="s">
        <v>139</v>
      </c>
      <c r="K85" s="71">
        <v>212</v>
      </c>
      <c r="M85" s="72">
        <v>17.5</v>
      </c>
      <c r="N85" s="71" t="s">
        <v>1</v>
      </c>
      <c r="R85" s="71">
        <v>203</v>
      </c>
      <c r="T85" s="72">
        <v>15.15</v>
      </c>
      <c r="U85" s="71" t="s">
        <v>139</v>
      </c>
    </row>
    <row r="86" spans="1:21" x14ac:dyDescent="0.55000000000000004">
      <c r="A86" s="71">
        <v>658</v>
      </c>
      <c r="C86" s="73">
        <v>14.4</v>
      </c>
      <c r="F86" s="71">
        <v>203</v>
      </c>
      <c r="H86" s="72">
        <v>15.15</v>
      </c>
      <c r="I86" s="71" t="s">
        <v>139</v>
      </c>
      <c r="K86" s="71">
        <v>212</v>
      </c>
      <c r="M86" s="72">
        <v>17.5</v>
      </c>
      <c r="N86" s="71" t="s">
        <v>1</v>
      </c>
      <c r="R86" s="71">
        <v>203</v>
      </c>
      <c r="T86" s="72">
        <v>15.15</v>
      </c>
      <c r="U86" s="71" t="s">
        <v>139</v>
      </c>
    </row>
    <row r="87" spans="1:21" x14ac:dyDescent="0.55000000000000004">
      <c r="A87" s="71">
        <v>212</v>
      </c>
      <c r="C87" s="73">
        <v>14.43</v>
      </c>
      <c r="D87" s="73">
        <v>18.8</v>
      </c>
      <c r="F87" s="71">
        <v>203</v>
      </c>
      <c r="H87" s="72">
        <v>15.15</v>
      </c>
      <c r="I87" s="71" t="s">
        <v>139</v>
      </c>
      <c r="K87" s="71">
        <v>563</v>
      </c>
      <c r="M87" s="72">
        <v>17.510000000000002</v>
      </c>
      <c r="N87" s="71" t="s">
        <v>1</v>
      </c>
      <c r="R87" s="71">
        <v>203</v>
      </c>
      <c r="T87" s="72">
        <v>15.15</v>
      </c>
      <c r="U87" s="71" t="s">
        <v>139</v>
      </c>
    </row>
    <row r="88" spans="1:21" x14ac:dyDescent="0.55000000000000004">
      <c r="A88" s="71">
        <v>421</v>
      </c>
      <c r="C88" s="73">
        <v>14.48</v>
      </c>
      <c r="D88" s="73">
        <v>18.8</v>
      </c>
      <c r="F88" s="71">
        <v>203</v>
      </c>
      <c r="H88" s="72">
        <v>15.15</v>
      </c>
      <c r="I88" s="71" t="s">
        <v>139</v>
      </c>
      <c r="K88" s="71">
        <v>771</v>
      </c>
      <c r="M88" s="72">
        <v>17.510000000000002</v>
      </c>
      <c r="N88" s="71" t="s">
        <v>1</v>
      </c>
      <c r="R88" s="71">
        <v>203</v>
      </c>
      <c r="T88" s="72">
        <v>15.15</v>
      </c>
      <c r="U88" s="71" t="s">
        <v>139</v>
      </c>
    </row>
    <row r="89" spans="1:21" x14ac:dyDescent="0.55000000000000004">
      <c r="A89" s="71">
        <v>421</v>
      </c>
      <c r="C89" s="73">
        <v>14.48</v>
      </c>
      <c r="D89" s="73">
        <v>18.8</v>
      </c>
      <c r="F89" s="71">
        <v>203</v>
      </c>
      <c r="H89" s="72">
        <v>15.15</v>
      </c>
      <c r="I89" s="71" t="s">
        <v>139</v>
      </c>
      <c r="K89" s="71">
        <v>718</v>
      </c>
      <c r="M89" s="72">
        <v>17.52</v>
      </c>
      <c r="N89" s="71" t="s">
        <v>1</v>
      </c>
      <c r="R89" s="71">
        <v>203</v>
      </c>
      <c r="T89" s="72">
        <v>15.15</v>
      </c>
      <c r="U89" s="71" t="s">
        <v>139</v>
      </c>
    </row>
    <row r="90" spans="1:21" x14ac:dyDescent="0.55000000000000004">
      <c r="A90" s="71">
        <v>421</v>
      </c>
      <c r="C90" s="73">
        <v>14.48</v>
      </c>
      <c r="D90" s="73">
        <v>17.760000000000002</v>
      </c>
      <c r="F90" s="71">
        <v>203</v>
      </c>
      <c r="H90" s="72">
        <v>15.15</v>
      </c>
      <c r="I90" s="71" t="s">
        <v>139</v>
      </c>
      <c r="K90" s="71">
        <v>777</v>
      </c>
      <c r="M90" s="72">
        <v>17.559999999999999</v>
      </c>
      <c r="N90" s="71" t="s">
        <v>1</v>
      </c>
      <c r="R90" s="71">
        <v>203</v>
      </c>
      <c r="T90" s="72">
        <v>15.15</v>
      </c>
      <c r="U90" s="71" t="s">
        <v>139</v>
      </c>
    </row>
    <row r="91" spans="1:21" x14ac:dyDescent="0.55000000000000004">
      <c r="A91" s="71">
        <v>421</v>
      </c>
      <c r="C91" s="73">
        <v>14.48</v>
      </c>
      <c r="D91" s="73">
        <v>18.5</v>
      </c>
      <c r="F91" s="71">
        <v>203</v>
      </c>
      <c r="H91" s="72">
        <v>15.38</v>
      </c>
      <c r="I91" s="71" t="s">
        <v>139</v>
      </c>
      <c r="K91" s="71">
        <v>824</v>
      </c>
      <c r="M91" s="72">
        <v>17.59</v>
      </c>
      <c r="N91" s="71" t="s">
        <v>1</v>
      </c>
      <c r="R91" s="71">
        <v>203</v>
      </c>
      <c r="T91" s="72">
        <v>15.38</v>
      </c>
      <c r="U91" s="71" t="s">
        <v>139</v>
      </c>
    </row>
    <row r="92" spans="1:21" x14ac:dyDescent="0.55000000000000004">
      <c r="A92" s="71">
        <v>479</v>
      </c>
      <c r="C92" s="73">
        <v>14.5</v>
      </c>
      <c r="D92" s="73">
        <v>16.73</v>
      </c>
      <c r="F92" s="71">
        <v>203</v>
      </c>
      <c r="H92" s="72">
        <v>15.38</v>
      </c>
      <c r="I92" s="71" t="s">
        <v>139</v>
      </c>
      <c r="K92" s="71">
        <v>777</v>
      </c>
      <c r="M92" s="72">
        <v>17.66</v>
      </c>
      <c r="N92" s="71" t="s">
        <v>1</v>
      </c>
      <c r="R92" s="71">
        <v>203</v>
      </c>
      <c r="T92" s="72">
        <v>15.38</v>
      </c>
      <c r="U92" s="71" t="s">
        <v>139</v>
      </c>
    </row>
    <row r="93" spans="1:21" x14ac:dyDescent="0.55000000000000004">
      <c r="A93" s="71">
        <v>479</v>
      </c>
      <c r="C93" s="73">
        <v>14.5</v>
      </c>
      <c r="D93" s="73">
        <v>17.5</v>
      </c>
      <c r="F93" s="71">
        <v>203</v>
      </c>
      <c r="H93" s="72">
        <v>15.4</v>
      </c>
      <c r="I93" s="71" t="s">
        <v>139</v>
      </c>
      <c r="K93" s="71">
        <v>452</v>
      </c>
      <c r="M93" s="72">
        <v>17.670000000000002</v>
      </c>
      <c r="N93" s="71" t="s">
        <v>1</v>
      </c>
      <c r="R93" s="71">
        <v>203</v>
      </c>
      <c r="T93" s="72">
        <v>15.4</v>
      </c>
      <c r="U93" s="71" t="s">
        <v>139</v>
      </c>
    </row>
    <row r="94" spans="1:21" x14ac:dyDescent="0.55000000000000004">
      <c r="A94" s="71">
        <v>658</v>
      </c>
      <c r="C94" s="73">
        <v>14.5</v>
      </c>
      <c r="D94" s="73">
        <v>16.239999999999998</v>
      </c>
      <c r="F94" s="71">
        <v>203</v>
      </c>
      <c r="H94" s="72">
        <v>15.4</v>
      </c>
      <c r="I94" s="71" t="s">
        <v>139</v>
      </c>
      <c r="K94" s="71">
        <v>164</v>
      </c>
      <c r="M94" s="72">
        <v>17.690000000000001</v>
      </c>
      <c r="N94" s="71" t="s">
        <v>1</v>
      </c>
      <c r="R94" s="71">
        <v>203</v>
      </c>
      <c r="T94" s="72">
        <v>15.4</v>
      </c>
      <c r="U94" s="71" t="s">
        <v>139</v>
      </c>
    </row>
    <row r="95" spans="1:21" x14ac:dyDescent="0.55000000000000004">
      <c r="A95" s="71">
        <v>953</v>
      </c>
      <c r="C95" s="73">
        <v>14.53</v>
      </c>
      <c r="F95" s="71">
        <v>203</v>
      </c>
      <c r="H95" s="72">
        <v>15.88</v>
      </c>
      <c r="I95" s="71" t="s">
        <v>139</v>
      </c>
      <c r="K95" s="71">
        <v>164</v>
      </c>
      <c r="M95" s="72">
        <v>17.690000000000001</v>
      </c>
      <c r="N95" s="71" t="s">
        <v>1</v>
      </c>
      <c r="R95" s="71">
        <v>203</v>
      </c>
      <c r="T95" s="72">
        <v>15.88</v>
      </c>
      <c r="U95" s="71" t="s">
        <v>139</v>
      </c>
    </row>
    <row r="96" spans="1:21" x14ac:dyDescent="0.55000000000000004">
      <c r="A96" s="71">
        <v>756</v>
      </c>
      <c r="C96" s="75">
        <v>14.56</v>
      </c>
      <c r="D96" s="75"/>
      <c r="F96" s="71">
        <v>205</v>
      </c>
      <c r="H96" s="72">
        <v>12</v>
      </c>
      <c r="I96" s="71" t="s">
        <v>139</v>
      </c>
      <c r="K96" s="71">
        <v>951</v>
      </c>
      <c r="M96" s="72">
        <v>17.7</v>
      </c>
      <c r="N96" s="71" t="s">
        <v>1</v>
      </c>
      <c r="R96" s="71">
        <v>205</v>
      </c>
      <c r="T96" s="72">
        <v>12</v>
      </c>
      <c r="U96" s="71" t="s">
        <v>139</v>
      </c>
    </row>
    <row r="97" spans="1:21" x14ac:dyDescent="0.55000000000000004">
      <c r="A97" s="71">
        <v>824</v>
      </c>
      <c r="C97" s="73">
        <v>14.64</v>
      </c>
      <c r="F97" s="71">
        <v>205</v>
      </c>
      <c r="H97" s="72">
        <v>12</v>
      </c>
      <c r="I97" s="71" t="s">
        <v>139</v>
      </c>
      <c r="K97" s="71">
        <v>540</v>
      </c>
      <c r="M97" s="72">
        <v>17.7</v>
      </c>
      <c r="N97" s="71" t="s">
        <v>1</v>
      </c>
      <c r="R97" s="71">
        <v>205</v>
      </c>
      <c r="T97" s="72">
        <v>12</v>
      </c>
      <c r="U97" s="71" t="s">
        <v>139</v>
      </c>
    </row>
    <row r="98" spans="1:21" x14ac:dyDescent="0.55000000000000004">
      <c r="A98" s="71">
        <v>824</v>
      </c>
      <c r="C98" s="73">
        <v>14.64</v>
      </c>
      <c r="F98" s="71">
        <v>205</v>
      </c>
      <c r="H98" s="72">
        <v>12</v>
      </c>
      <c r="I98" s="71" t="s">
        <v>139</v>
      </c>
      <c r="K98" s="71">
        <v>421</v>
      </c>
      <c r="M98" s="72">
        <v>17.760000000000002</v>
      </c>
      <c r="N98" s="71" t="s">
        <v>1</v>
      </c>
      <c r="R98" s="71">
        <v>205</v>
      </c>
      <c r="T98" s="72">
        <v>12</v>
      </c>
      <c r="U98" s="71" t="s">
        <v>139</v>
      </c>
    </row>
    <row r="99" spans="1:21" x14ac:dyDescent="0.55000000000000004">
      <c r="A99" s="71">
        <v>726</v>
      </c>
      <c r="C99" s="73">
        <v>14.66</v>
      </c>
      <c r="D99" s="73">
        <v>21.53</v>
      </c>
      <c r="F99" s="71">
        <v>205</v>
      </c>
      <c r="H99" s="72">
        <v>12</v>
      </c>
      <c r="I99" s="71" t="s">
        <v>139</v>
      </c>
      <c r="K99" s="71">
        <v>828</v>
      </c>
      <c r="M99" s="72">
        <v>17.79</v>
      </c>
      <c r="N99" s="71" t="s">
        <v>1</v>
      </c>
      <c r="R99" s="71">
        <v>205</v>
      </c>
      <c r="T99" s="72">
        <v>12</v>
      </c>
      <c r="U99" s="71" t="s">
        <v>139</v>
      </c>
    </row>
    <row r="100" spans="1:21" x14ac:dyDescent="0.55000000000000004">
      <c r="A100" s="71">
        <v>351</v>
      </c>
      <c r="C100" s="73">
        <v>14.68</v>
      </c>
      <c r="D100" s="73">
        <v>22.83</v>
      </c>
      <c r="F100" s="71">
        <v>205</v>
      </c>
      <c r="H100" s="72">
        <v>12.5</v>
      </c>
      <c r="I100" s="71" t="s">
        <v>139</v>
      </c>
      <c r="K100" s="71">
        <v>313</v>
      </c>
      <c r="M100" s="72">
        <v>17.82</v>
      </c>
      <c r="N100" s="71" t="s">
        <v>1</v>
      </c>
      <c r="R100" s="71">
        <v>205</v>
      </c>
      <c r="T100" s="72">
        <v>12.5</v>
      </c>
      <c r="U100" s="71" t="s">
        <v>139</v>
      </c>
    </row>
    <row r="101" spans="1:21" x14ac:dyDescent="0.55000000000000004">
      <c r="A101" s="71">
        <v>351</v>
      </c>
      <c r="C101" s="73">
        <v>14.68</v>
      </c>
      <c r="D101" s="73">
        <v>24</v>
      </c>
      <c r="F101" s="71">
        <v>205</v>
      </c>
      <c r="H101" s="72">
        <v>16</v>
      </c>
      <c r="I101" s="71" t="s">
        <v>139</v>
      </c>
      <c r="K101" s="71">
        <v>726</v>
      </c>
      <c r="M101" s="72">
        <v>17.850000000000001</v>
      </c>
      <c r="N101" s="71" t="s">
        <v>1</v>
      </c>
      <c r="R101" s="71">
        <v>205</v>
      </c>
      <c r="T101" s="72">
        <v>16</v>
      </c>
      <c r="U101" s="71" t="s">
        <v>139</v>
      </c>
    </row>
    <row r="102" spans="1:21" x14ac:dyDescent="0.55000000000000004">
      <c r="A102" s="71">
        <v>351</v>
      </c>
      <c r="C102" s="73">
        <v>14.68</v>
      </c>
      <c r="D102" s="73">
        <v>15.84</v>
      </c>
      <c r="F102" s="71">
        <v>205</v>
      </c>
      <c r="H102" s="72">
        <v>16</v>
      </c>
      <c r="I102" s="71" t="s">
        <v>139</v>
      </c>
      <c r="K102" s="71">
        <v>528</v>
      </c>
      <c r="M102" s="72">
        <v>17.89</v>
      </c>
      <c r="N102" s="71" t="s">
        <v>1</v>
      </c>
      <c r="R102" s="71">
        <v>205</v>
      </c>
      <c r="T102" s="72">
        <v>16</v>
      </c>
      <c r="U102" s="71" t="s">
        <v>139</v>
      </c>
    </row>
    <row r="103" spans="1:21" x14ac:dyDescent="0.55000000000000004">
      <c r="A103" s="71">
        <v>351</v>
      </c>
      <c r="C103" s="73">
        <v>14.68</v>
      </c>
      <c r="D103" s="73">
        <v>15.84</v>
      </c>
      <c r="F103" s="71">
        <v>205</v>
      </c>
      <c r="H103" s="72">
        <v>16</v>
      </c>
      <c r="I103" s="71" t="s">
        <v>139</v>
      </c>
      <c r="K103" s="71">
        <v>951</v>
      </c>
      <c r="M103" s="72">
        <v>17.899999999999999</v>
      </c>
      <c r="N103" s="71" t="s">
        <v>1</v>
      </c>
      <c r="R103" s="71">
        <v>205</v>
      </c>
      <c r="T103" s="72">
        <v>16</v>
      </c>
      <c r="U103" s="71" t="s">
        <v>139</v>
      </c>
    </row>
    <row r="104" spans="1:21" x14ac:dyDescent="0.55000000000000004">
      <c r="A104" s="71">
        <v>351</v>
      </c>
      <c r="C104" s="73">
        <v>14.68</v>
      </c>
      <c r="D104" s="73">
        <v>15.84</v>
      </c>
      <c r="F104" s="71">
        <v>205</v>
      </c>
      <c r="H104" s="72">
        <v>16.5</v>
      </c>
      <c r="I104" s="71" t="s">
        <v>139</v>
      </c>
      <c r="K104" s="71">
        <v>540</v>
      </c>
      <c r="M104" s="72">
        <v>17.93</v>
      </c>
      <c r="N104" s="71" t="s">
        <v>1</v>
      </c>
      <c r="R104" s="71">
        <v>205</v>
      </c>
      <c r="T104" s="72">
        <v>16.5</v>
      </c>
      <c r="U104" s="71" t="s">
        <v>139</v>
      </c>
    </row>
    <row r="105" spans="1:21" x14ac:dyDescent="0.55000000000000004">
      <c r="A105" s="71">
        <v>351</v>
      </c>
      <c r="C105" s="73">
        <v>14.68</v>
      </c>
      <c r="D105" s="73">
        <v>14.57</v>
      </c>
      <c r="F105" s="71">
        <v>205</v>
      </c>
      <c r="H105" s="72">
        <v>20</v>
      </c>
      <c r="I105" s="71" t="s">
        <v>139</v>
      </c>
      <c r="K105" s="71">
        <v>560</v>
      </c>
      <c r="M105" s="72">
        <v>17.9375</v>
      </c>
      <c r="N105" s="71" t="s">
        <v>1</v>
      </c>
      <c r="R105" s="71">
        <v>205</v>
      </c>
      <c r="T105" s="72">
        <v>20</v>
      </c>
      <c r="U105" s="71" t="s">
        <v>139</v>
      </c>
    </row>
    <row r="106" spans="1:21" x14ac:dyDescent="0.55000000000000004">
      <c r="A106" s="71">
        <v>351</v>
      </c>
      <c r="C106" s="73">
        <v>14.68</v>
      </c>
      <c r="D106" s="73">
        <v>15.84</v>
      </c>
      <c r="F106" s="71">
        <v>212</v>
      </c>
      <c r="H106" s="72">
        <v>14</v>
      </c>
      <c r="I106" s="71" t="s">
        <v>139</v>
      </c>
      <c r="K106" s="71">
        <v>203</v>
      </c>
      <c r="M106" s="72">
        <v>17.95</v>
      </c>
      <c r="N106" s="71" t="s">
        <v>1</v>
      </c>
      <c r="R106" s="71">
        <v>212</v>
      </c>
      <c r="T106" s="72">
        <v>14</v>
      </c>
      <c r="U106" s="71" t="s">
        <v>139</v>
      </c>
    </row>
    <row r="107" spans="1:21" x14ac:dyDescent="0.55000000000000004">
      <c r="A107" s="71">
        <v>351</v>
      </c>
      <c r="C107" s="74">
        <v>14.68</v>
      </c>
      <c r="D107" s="74">
        <v>21</v>
      </c>
      <c r="F107" s="71">
        <v>212</v>
      </c>
      <c r="H107" s="72">
        <v>14</v>
      </c>
      <c r="I107" s="71" t="s">
        <v>139</v>
      </c>
      <c r="K107" s="71">
        <v>776</v>
      </c>
      <c r="M107" s="72">
        <v>18</v>
      </c>
      <c r="N107" s="71" t="s">
        <v>1</v>
      </c>
      <c r="R107" s="71">
        <v>212</v>
      </c>
      <c r="T107" s="72">
        <v>14</v>
      </c>
      <c r="U107" s="71" t="s">
        <v>139</v>
      </c>
    </row>
    <row r="108" spans="1:21" x14ac:dyDescent="0.55000000000000004">
      <c r="A108" s="71">
        <v>351</v>
      </c>
      <c r="C108" s="74">
        <v>14.68</v>
      </c>
      <c r="D108" s="74">
        <v>21</v>
      </c>
      <c r="F108" s="71">
        <v>212</v>
      </c>
      <c r="H108" s="72">
        <v>14</v>
      </c>
      <c r="I108" s="71" t="s">
        <v>139</v>
      </c>
      <c r="K108" s="71">
        <v>423</v>
      </c>
      <c r="M108" s="72">
        <v>18</v>
      </c>
      <c r="N108" s="71" t="s">
        <v>1</v>
      </c>
      <c r="R108" s="71">
        <v>212</v>
      </c>
      <c r="T108" s="72">
        <v>14</v>
      </c>
      <c r="U108" s="71" t="s">
        <v>139</v>
      </c>
    </row>
    <row r="109" spans="1:21" x14ac:dyDescent="0.55000000000000004">
      <c r="A109" s="71">
        <v>351</v>
      </c>
      <c r="C109" s="74">
        <v>14.68</v>
      </c>
      <c r="D109" s="74">
        <v>18</v>
      </c>
      <c r="F109" s="71">
        <v>212</v>
      </c>
      <c r="H109" s="72">
        <v>14</v>
      </c>
      <c r="I109" s="71" t="s">
        <v>139</v>
      </c>
      <c r="K109" s="71">
        <v>423</v>
      </c>
      <c r="M109" s="72">
        <v>18</v>
      </c>
      <c r="N109" s="71" t="s">
        <v>1</v>
      </c>
      <c r="R109" s="71">
        <v>212</v>
      </c>
      <c r="T109" s="72">
        <v>14</v>
      </c>
      <c r="U109" s="71" t="s">
        <v>139</v>
      </c>
    </row>
    <row r="110" spans="1:21" x14ac:dyDescent="0.55000000000000004">
      <c r="A110" s="71">
        <v>351</v>
      </c>
      <c r="C110" s="74">
        <v>14.68</v>
      </c>
      <c r="D110" s="74"/>
      <c r="F110" s="71">
        <v>212</v>
      </c>
      <c r="H110" s="72">
        <v>14</v>
      </c>
      <c r="I110" s="71" t="s">
        <v>139</v>
      </c>
      <c r="K110" s="71">
        <v>234</v>
      </c>
      <c r="M110" s="72">
        <v>18</v>
      </c>
      <c r="N110" s="71" t="s">
        <v>1</v>
      </c>
      <c r="R110" s="71">
        <v>212</v>
      </c>
      <c r="T110" s="72">
        <v>14</v>
      </c>
      <c r="U110" s="71" t="s">
        <v>139</v>
      </c>
    </row>
    <row r="111" spans="1:21" x14ac:dyDescent="0.55000000000000004">
      <c r="A111" s="71">
        <v>351</v>
      </c>
      <c r="C111" s="74">
        <v>14.68</v>
      </c>
      <c r="D111" s="74"/>
      <c r="F111" s="71">
        <v>212</v>
      </c>
      <c r="H111" s="72">
        <v>14</v>
      </c>
      <c r="I111" s="71" t="s">
        <v>139</v>
      </c>
      <c r="K111" s="71">
        <v>563</v>
      </c>
      <c r="M111" s="72">
        <v>18</v>
      </c>
      <c r="N111" s="71" t="s">
        <v>1</v>
      </c>
      <c r="R111" s="71">
        <v>212</v>
      </c>
      <c r="T111" s="72">
        <v>14</v>
      </c>
      <c r="U111" s="71" t="s">
        <v>139</v>
      </c>
    </row>
    <row r="112" spans="1:21" x14ac:dyDescent="0.55000000000000004">
      <c r="A112" s="71">
        <v>351</v>
      </c>
      <c r="C112" s="74">
        <v>14.68</v>
      </c>
      <c r="D112" s="74"/>
      <c r="F112" s="71">
        <v>212</v>
      </c>
      <c r="H112" s="72">
        <v>14.43</v>
      </c>
      <c r="I112" s="71" t="s">
        <v>139</v>
      </c>
      <c r="K112" s="71">
        <v>701</v>
      </c>
      <c r="M112" s="72">
        <v>18</v>
      </c>
      <c r="N112" s="71" t="s">
        <v>1</v>
      </c>
      <c r="R112" s="71">
        <v>212</v>
      </c>
      <c r="T112" s="72">
        <v>14.43</v>
      </c>
      <c r="U112" s="71" t="s">
        <v>139</v>
      </c>
    </row>
    <row r="113" spans="1:21" x14ac:dyDescent="0.55000000000000004">
      <c r="A113" s="71">
        <v>351</v>
      </c>
      <c r="C113" s="74">
        <v>14.68</v>
      </c>
      <c r="D113" s="74">
        <v>19.149999999999999</v>
      </c>
      <c r="F113" s="71">
        <v>212</v>
      </c>
      <c r="H113" s="72">
        <v>15.48</v>
      </c>
      <c r="I113" s="71" t="s">
        <v>139</v>
      </c>
      <c r="K113" s="71">
        <v>910</v>
      </c>
      <c r="M113" s="72">
        <v>18</v>
      </c>
      <c r="N113" s="71" t="s">
        <v>1</v>
      </c>
      <c r="R113" s="71">
        <v>212</v>
      </c>
      <c r="T113" s="72">
        <v>15.48</v>
      </c>
      <c r="U113" s="71" t="s">
        <v>139</v>
      </c>
    </row>
    <row r="114" spans="1:21" x14ac:dyDescent="0.55000000000000004">
      <c r="A114" s="71">
        <v>351</v>
      </c>
      <c r="C114" s="74">
        <v>14.68</v>
      </c>
      <c r="D114" s="74">
        <v>17</v>
      </c>
      <c r="F114" s="71">
        <v>218</v>
      </c>
      <c r="H114" s="72">
        <v>18</v>
      </c>
      <c r="I114" s="71" t="s">
        <v>139</v>
      </c>
      <c r="K114" s="71">
        <v>910</v>
      </c>
      <c r="M114" s="72">
        <v>18</v>
      </c>
      <c r="N114" s="71" t="s">
        <v>1</v>
      </c>
      <c r="R114" s="71">
        <v>218</v>
      </c>
      <c r="T114" s="72">
        <v>18</v>
      </c>
      <c r="U114" s="71" t="s">
        <v>139</v>
      </c>
    </row>
    <row r="115" spans="1:21" x14ac:dyDescent="0.55000000000000004">
      <c r="A115" s="71">
        <v>351</v>
      </c>
      <c r="C115" s="74">
        <v>14.68</v>
      </c>
      <c r="D115" s="74">
        <v>16</v>
      </c>
      <c r="F115" s="71">
        <v>218</v>
      </c>
      <c r="H115" s="72">
        <v>18</v>
      </c>
      <c r="I115" s="71" t="s">
        <v>139</v>
      </c>
      <c r="K115" s="71">
        <v>540</v>
      </c>
      <c r="M115" s="72">
        <v>18.010000000000002</v>
      </c>
      <c r="N115" s="71" t="s">
        <v>1</v>
      </c>
      <c r="R115" s="71">
        <v>218</v>
      </c>
      <c r="T115" s="72">
        <v>18</v>
      </c>
      <c r="U115" s="71" t="s">
        <v>139</v>
      </c>
    </row>
    <row r="116" spans="1:21" x14ac:dyDescent="0.55000000000000004">
      <c r="A116" s="71">
        <v>351</v>
      </c>
      <c r="C116" s="74">
        <v>14.68</v>
      </c>
      <c r="D116" s="74"/>
      <c r="F116" s="71">
        <v>218</v>
      </c>
      <c r="H116" s="72">
        <v>18</v>
      </c>
      <c r="I116" s="71" t="s">
        <v>139</v>
      </c>
      <c r="K116" s="71">
        <v>535</v>
      </c>
      <c r="M116" s="72">
        <v>18.04</v>
      </c>
      <c r="N116" s="71" t="s">
        <v>1</v>
      </c>
      <c r="R116" s="71">
        <v>218</v>
      </c>
      <c r="T116" s="72">
        <v>18</v>
      </c>
      <c r="U116" s="71" t="s">
        <v>139</v>
      </c>
    </row>
    <row r="117" spans="1:21" x14ac:dyDescent="0.55000000000000004">
      <c r="A117" s="71">
        <v>351</v>
      </c>
      <c r="C117" s="74">
        <v>14.68</v>
      </c>
      <c r="D117" s="74"/>
      <c r="F117" s="71">
        <v>218</v>
      </c>
      <c r="H117" s="72">
        <v>18</v>
      </c>
      <c r="I117" s="71" t="s">
        <v>139</v>
      </c>
      <c r="K117" s="71">
        <v>901</v>
      </c>
      <c r="M117" s="72">
        <v>18.059999999999999</v>
      </c>
      <c r="N117" s="71" t="s">
        <v>1</v>
      </c>
      <c r="R117" s="71">
        <v>218</v>
      </c>
      <c r="T117" s="72">
        <v>18</v>
      </c>
      <c r="U117" s="71" t="s">
        <v>139</v>
      </c>
    </row>
    <row r="118" spans="1:21" x14ac:dyDescent="0.55000000000000004">
      <c r="A118" s="71">
        <v>351</v>
      </c>
      <c r="C118" s="74">
        <v>14.68</v>
      </c>
      <c r="D118" s="74"/>
      <c r="F118" s="71">
        <v>218</v>
      </c>
      <c r="H118" s="72">
        <v>18</v>
      </c>
      <c r="I118" s="71" t="s">
        <v>139</v>
      </c>
      <c r="K118" s="71">
        <v>828</v>
      </c>
      <c r="M118" s="72">
        <v>18.07</v>
      </c>
      <c r="N118" s="71" t="s">
        <v>1</v>
      </c>
      <c r="R118" s="71">
        <v>218</v>
      </c>
      <c r="T118" s="72">
        <v>18</v>
      </c>
      <c r="U118" s="71" t="s">
        <v>139</v>
      </c>
    </row>
    <row r="119" spans="1:21" x14ac:dyDescent="0.55000000000000004">
      <c r="A119" s="71">
        <v>351</v>
      </c>
      <c r="C119" s="74">
        <v>14.68</v>
      </c>
      <c r="D119" s="74">
        <v>24.78</v>
      </c>
      <c r="F119" s="71">
        <v>218</v>
      </c>
      <c r="H119" s="72">
        <v>21.5</v>
      </c>
      <c r="I119" s="71" t="s">
        <v>139</v>
      </c>
      <c r="K119" s="71">
        <v>777</v>
      </c>
      <c r="M119" s="72">
        <v>18.11</v>
      </c>
      <c r="N119" s="71" t="s">
        <v>1</v>
      </c>
      <c r="R119" s="71">
        <v>218</v>
      </c>
      <c r="T119" s="72">
        <v>21.5</v>
      </c>
      <c r="U119" s="71" t="s">
        <v>139</v>
      </c>
    </row>
    <row r="120" spans="1:21" x14ac:dyDescent="0.55000000000000004">
      <c r="A120" s="71">
        <v>351</v>
      </c>
      <c r="C120" s="74">
        <v>14.68</v>
      </c>
      <c r="D120" s="74">
        <v>20.04</v>
      </c>
      <c r="F120" s="71">
        <v>218</v>
      </c>
      <c r="H120" s="72">
        <v>22</v>
      </c>
      <c r="I120" s="71" t="s">
        <v>139</v>
      </c>
      <c r="K120" s="71">
        <v>951</v>
      </c>
      <c r="M120" s="72">
        <v>18.149999999999999</v>
      </c>
      <c r="N120" s="71" t="s">
        <v>1</v>
      </c>
      <c r="R120" s="71">
        <v>218</v>
      </c>
      <c r="T120" s="72">
        <v>22</v>
      </c>
      <c r="U120" s="71" t="s">
        <v>139</v>
      </c>
    </row>
    <row r="121" spans="1:21" x14ac:dyDescent="0.55000000000000004">
      <c r="A121" s="71">
        <v>646</v>
      </c>
      <c r="C121" s="73">
        <v>14.68</v>
      </c>
      <c r="D121" s="73">
        <v>20.99</v>
      </c>
      <c r="F121" s="71">
        <v>222</v>
      </c>
      <c r="H121" s="72">
        <v>20.13</v>
      </c>
      <c r="I121" s="71" t="s">
        <v>139</v>
      </c>
      <c r="K121" s="71">
        <v>572</v>
      </c>
      <c r="M121" s="72">
        <v>18.149999999999999</v>
      </c>
      <c r="N121" s="71" t="s">
        <v>1</v>
      </c>
      <c r="R121" s="71">
        <v>222</v>
      </c>
      <c r="T121" s="72">
        <v>20.13</v>
      </c>
      <c r="U121" s="71" t="s">
        <v>139</v>
      </c>
    </row>
    <row r="122" spans="1:21" x14ac:dyDescent="0.55000000000000004">
      <c r="A122" s="71">
        <v>646</v>
      </c>
      <c r="C122" s="73">
        <v>14.68</v>
      </c>
      <c r="D122" s="73">
        <v>19.68</v>
      </c>
      <c r="F122" s="71">
        <v>227</v>
      </c>
      <c r="H122" s="72">
        <v>12.5</v>
      </c>
      <c r="I122" s="71" t="s">
        <v>139</v>
      </c>
      <c r="K122" s="71">
        <v>560</v>
      </c>
      <c r="M122" s="72">
        <v>18.183499999999999</v>
      </c>
      <c r="N122" s="71" t="s">
        <v>1</v>
      </c>
      <c r="R122" s="71">
        <v>227</v>
      </c>
      <c r="T122" s="72">
        <v>12.5</v>
      </c>
      <c r="U122" s="71" t="s">
        <v>139</v>
      </c>
    </row>
    <row r="123" spans="1:21" x14ac:dyDescent="0.55000000000000004">
      <c r="A123" s="71">
        <v>646</v>
      </c>
      <c r="C123" s="73">
        <v>14.68</v>
      </c>
      <c r="D123" s="73">
        <v>18.73</v>
      </c>
      <c r="F123" s="71">
        <v>227</v>
      </c>
      <c r="H123" s="72">
        <v>12.5</v>
      </c>
      <c r="I123" s="71" t="s">
        <v>139</v>
      </c>
      <c r="K123" s="71">
        <v>315</v>
      </c>
      <c r="M123" s="72">
        <v>18.190000000000001</v>
      </c>
      <c r="N123" s="71" t="s">
        <v>1</v>
      </c>
      <c r="R123" s="71">
        <v>227</v>
      </c>
      <c r="T123" s="72">
        <v>12.5</v>
      </c>
      <c r="U123" s="71" t="s">
        <v>139</v>
      </c>
    </row>
    <row r="124" spans="1:21" x14ac:dyDescent="0.55000000000000004">
      <c r="A124" s="71">
        <v>646</v>
      </c>
      <c r="C124" s="73">
        <v>14.68</v>
      </c>
      <c r="D124" s="73">
        <v>19.68</v>
      </c>
      <c r="F124" s="71">
        <v>234</v>
      </c>
      <c r="H124" s="72">
        <v>15</v>
      </c>
      <c r="I124" s="71" t="s">
        <v>139</v>
      </c>
      <c r="K124" s="71">
        <v>701</v>
      </c>
      <c r="M124" s="72">
        <v>18.2</v>
      </c>
      <c r="N124" s="71" t="s">
        <v>1</v>
      </c>
      <c r="R124" s="71">
        <v>234</v>
      </c>
      <c r="T124" s="72">
        <v>15</v>
      </c>
      <c r="U124" s="71" t="s">
        <v>139</v>
      </c>
    </row>
    <row r="125" spans="1:21" x14ac:dyDescent="0.55000000000000004">
      <c r="A125" s="71">
        <v>646</v>
      </c>
      <c r="C125" s="73">
        <v>14.68</v>
      </c>
      <c r="D125" s="73">
        <v>18.73</v>
      </c>
      <c r="F125" s="71">
        <v>234</v>
      </c>
      <c r="H125" s="72">
        <v>15</v>
      </c>
      <c r="I125" s="71" t="s">
        <v>139</v>
      </c>
      <c r="K125" s="71">
        <v>728</v>
      </c>
      <c r="M125" s="72">
        <v>18.28</v>
      </c>
      <c r="N125" s="71" t="s">
        <v>1</v>
      </c>
      <c r="R125" s="71">
        <v>234</v>
      </c>
      <c r="T125" s="72">
        <v>15</v>
      </c>
      <c r="U125" s="71" t="s">
        <v>139</v>
      </c>
    </row>
    <row r="126" spans="1:21" x14ac:dyDescent="0.55000000000000004">
      <c r="A126" s="71">
        <v>646</v>
      </c>
      <c r="C126" s="73">
        <v>14.68</v>
      </c>
      <c r="D126" s="73">
        <v>19.09</v>
      </c>
      <c r="F126" s="71">
        <v>234</v>
      </c>
      <c r="H126" s="72">
        <v>15</v>
      </c>
      <c r="I126" s="71" t="s">
        <v>139</v>
      </c>
      <c r="K126" s="71">
        <v>385</v>
      </c>
      <c r="M126" s="72">
        <v>18.28</v>
      </c>
      <c r="N126" s="71" t="s">
        <v>1</v>
      </c>
      <c r="R126" s="71">
        <v>234</v>
      </c>
      <c r="T126" s="72">
        <v>15</v>
      </c>
      <c r="U126" s="71" t="s">
        <v>139</v>
      </c>
    </row>
    <row r="127" spans="1:21" x14ac:dyDescent="0.55000000000000004">
      <c r="A127" s="71">
        <v>646</v>
      </c>
      <c r="C127" s="73">
        <v>14.68</v>
      </c>
      <c r="D127" s="73">
        <v>19.09</v>
      </c>
      <c r="F127" s="71">
        <v>234</v>
      </c>
      <c r="H127" s="72">
        <v>15</v>
      </c>
      <c r="I127" s="71" t="s">
        <v>139</v>
      </c>
      <c r="K127" s="71">
        <v>726</v>
      </c>
      <c r="M127" s="72">
        <v>18.329999999999998</v>
      </c>
      <c r="N127" s="71" t="s">
        <v>1</v>
      </c>
      <c r="R127" s="71">
        <v>234</v>
      </c>
      <c r="T127" s="72">
        <v>15</v>
      </c>
      <c r="U127" s="71" t="s">
        <v>139</v>
      </c>
    </row>
    <row r="128" spans="1:21" x14ac:dyDescent="0.55000000000000004">
      <c r="A128" s="71">
        <v>646</v>
      </c>
      <c r="C128" s="73">
        <v>14.68</v>
      </c>
      <c r="D128" s="73">
        <v>23.57</v>
      </c>
      <c r="F128" s="71">
        <v>234</v>
      </c>
      <c r="H128" s="72">
        <v>16</v>
      </c>
      <c r="I128" s="71" t="s">
        <v>139</v>
      </c>
      <c r="K128" s="71">
        <v>543</v>
      </c>
      <c r="M128" s="72">
        <v>18.350000000000001</v>
      </c>
      <c r="N128" s="71" t="s">
        <v>1</v>
      </c>
      <c r="R128" s="71">
        <v>234</v>
      </c>
      <c r="T128" s="72">
        <v>16</v>
      </c>
      <c r="U128" s="71" t="s">
        <v>139</v>
      </c>
    </row>
    <row r="129" spans="1:21" x14ac:dyDescent="0.55000000000000004">
      <c r="A129" s="71">
        <v>646</v>
      </c>
      <c r="C129" s="73">
        <v>14.68</v>
      </c>
      <c r="D129" s="73">
        <v>24.34</v>
      </c>
      <c r="F129" s="71">
        <v>234</v>
      </c>
      <c r="H129" s="72">
        <v>16.5</v>
      </c>
      <c r="I129" s="71" t="s">
        <v>139</v>
      </c>
      <c r="K129" s="71">
        <v>959</v>
      </c>
      <c r="M129" s="72">
        <v>18.350000000000001</v>
      </c>
      <c r="N129" s="71" t="s">
        <v>1</v>
      </c>
      <c r="R129" s="71">
        <v>234</v>
      </c>
      <c r="T129" s="72">
        <v>16.5</v>
      </c>
      <c r="U129" s="71" t="s">
        <v>139</v>
      </c>
    </row>
    <row r="130" spans="1:21" x14ac:dyDescent="0.55000000000000004">
      <c r="A130" s="71">
        <v>646</v>
      </c>
      <c r="C130" s="73">
        <v>14.68</v>
      </c>
      <c r="F130" s="71">
        <v>234</v>
      </c>
      <c r="H130" s="72">
        <v>16.5</v>
      </c>
      <c r="I130" s="71" t="s">
        <v>139</v>
      </c>
      <c r="K130" s="71">
        <v>783</v>
      </c>
      <c r="M130" s="72">
        <v>18.374400000000001</v>
      </c>
      <c r="N130" s="71" t="s">
        <v>1</v>
      </c>
      <c r="R130" s="71">
        <v>234</v>
      </c>
      <c r="T130" s="72">
        <v>16.5</v>
      </c>
      <c r="U130" s="71" t="s">
        <v>139</v>
      </c>
    </row>
    <row r="131" spans="1:21" x14ac:dyDescent="0.55000000000000004">
      <c r="A131" s="71">
        <v>646</v>
      </c>
      <c r="C131" s="73">
        <v>14.68</v>
      </c>
      <c r="F131" s="71">
        <v>234</v>
      </c>
      <c r="H131" s="72">
        <v>17</v>
      </c>
      <c r="I131" s="71" t="s">
        <v>139</v>
      </c>
      <c r="K131" s="71">
        <v>452</v>
      </c>
      <c r="M131" s="72">
        <v>18.38</v>
      </c>
      <c r="N131" s="71" t="s">
        <v>1</v>
      </c>
      <c r="R131" s="71">
        <v>234</v>
      </c>
      <c r="T131" s="72">
        <v>17</v>
      </c>
      <c r="U131" s="71" t="s">
        <v>139</v>
      </c>
    </row>
    <row r="132" spans="1:21" x14ac:dyDescent="0.55000000000000004">
      <c r="A132" s="71">
        <v>646</v>
      </c>
      <c r="C132" s="73">
        <v>14.68</v>
      </c>
      <c r="F132" s="71">
        <v>234</v>
      </c>
      <c r="H132" s="72">
        <v>17</v>
      </c>
      <c r="I132" s="71" t="s">
        <v>139</v>
      </c>
      <c r="K132" s="71">
        <v>962</v>
      </c>
      <c r="M132" s="72">
        <v>18.39</v>
      </c>
      <c r="N132" s="71" t="s">
        <v>1</v>
      </c>
      <c r="R132" s="71">
        <v>234</v>
      </c>
      <c r="T132" s="72">
        <v>17</v>
      </c>
      <c r="U132" s="71" t="s">
        <v>139</v>
      </c>
    </row>
    <row r="133" spans="1:21" x14ac:dyDescent="0.55000000000000004">
      <c r="A133" s="71">
        <v>646</v>
      </c>
      <c r="C133" s="73">
        <v>14.68</v>
      </c>
      <c r="F133" s="71">
        <v>234</v>
      </c>
      <c r="H133" s="72">
        <v>17.5</v>
      </c>
      <c r="I133" s="71" t="s">
        <v>139</v>
      </c>
      <c r="K133" s="71">
        <v>164</v>
      </c>
      <c r="M133" s="72">
        <v>18.399999999999999</v>
      </c>
      <c r="N133" s="71" t="s">
        <v>1</v>
      </c>
      <c r="R133" s="71">
        <v>234</v>
      </c>
      <c r="T133" s="72">
        <v>17.5</v>
      </c>
      <c r="U133" s="71" t="s">
        <v>139</v>
      </c>
    </row>
    <row r="134" spans="1:21" x14ac:dyDescent="0.55000000000000004">
      <c r="A134" s="71">
        <v>646</v>
      </c>
      <c r="C134" s="73">
        <v>14.68</v>
      </c>
      <c r="F134" s="71">
        <v>263</v>
      </c>
      <c r="H134" s="72">
        <v>18.72</v>
      </c>
      <c r="I134" s="71" t="s">
        <v>139</v>
      </c>
      <c r="K134" s="71">
        <v>178</v>
      </c>
      <c r="M134" s="72">
        <v>18.399999999999999</v>
      </c>
      <c r="N134" s="71" t="s">
        <v>1</v>
      </c>
      <c r="R134" s="71">
        <v>263</v>
      </c>
      <c r="T134" s="72">
        <v>18.72</v>
      </c>
      <c r="U134" s="71" t="s">
        <v>139</v>
      </c>
    </row>
    <row r="135" spans="1:21" x14ac:dyDescent="0.55000000000000004">
      <c r="A135" s="71">
        <v>646</v>
      </c>
      <c r="C135" s="73">
        <v>14.68</v>
      </c>
      <c r="F135" s="71">
        <v>263</v>
      </c>
      <c r="H135" s="72">
        <v>18.72</v>
      </c>
      <c r="I135" s="71" t="s">
        <v>139</v>
      </c>
      <c r="K135" s="71">
        <v>351</v>
      </c>
      <c r="M135" s="72">
        <v>18.41</v>
      </c>
      <c r="N135" s="71" t="s">
        <v>1</v>
      </c>
      <c r="R135" s="71">
        <v>263</v>
      </c>
      <c r="T135" s="72">
        <v>18.72</v>
      </c>
      <c r="U135" s="71" t="s">
        <v>139</v>
      </c>
    </row>
    <row r="136" spans="1:21" x14ac:dyDescent="0.55000000000000004">
      <c r="A136" s="71">
        <v>646</v>
      </c>
      <c r="C136" s="73">
        <v>14.68</v>
      </c>
      <c r="F136" s="71">
        <v>263</v>
      </c>
      <c r="H136" s="72">
        <v>18.72</v>
      </c>
      <c r="I136" s="71" t="s">
        <v>139</v>
      </c>
      <c r="K136" s="71">
        <v>351</v>
      </c>
      <c r="M136" s="72">
        <v>18.41</v>
      </c>
      <c r="N136" s="71" t="s">
        <v>1</v>
      </c>
      <c r="R136" s="71">
        <v>263</v>
      </c>
      <c r="T136" s="72">
        <v>18.72</v>
      </c>
      <c r="U136" s="71" t="s">
        <v>139</v>
      </c>
    </row>
    <row r="137" spans="1:21" x14ac:dyDescent="0.55000000000000004">
      <c r="A137" s="71">
        <v>646</v>
      </c>
      <c r="C137" s="73">
        <v>14.68</v>
      </c>
      <c r="F137" s="71">
        <v>263</v>
      </c>
      <c r="H137" s="72">
        <v>18.72</v>
      </c>
      <c r="I137" s="71" t="s">
        <v>139</v>
      </c>
      <c r="K137" s="71">
        <v>212</v>
      </c>
      <c r="M137" s="72">
        <v>18.420000000000002</v>
      </c>
      <c r="N137" s="71" t="s">
        <v>1</v>
      </c>
      <c r="R137" s="71">
        <v>263</v>
      </c>
      <c r="T137" s="72">
        <v>18.72</v>
      </c>
      <c r="U137" s="71" t="s">
        <v>139</v>
      </c>
    </row>
    <row r="138" spans="1:21" x14ac:dyDescent="0.55000000000000004">
      <c r="A138" s="71">
        <v>646</v>
      </c>
      <c r="C138" s="73">
        <v>14.68</v>
      </c>
      <c r="F138" s="71">
        <v>268</v>
      </c>
      <c r="H138" s="72">
        <v>16.05</v>
      </c>
      <c r="I138" s="71" t="s">
        <v>139</v>
      </c>
      <c r="K138" s="71">
        <v>901</v>
      </c>
      <c r="M138" s="72">
        <v>18.43</v>
      </c>
      <c r="N138" s="71" t="s">
        <v>1</v>
      </c>
      <c r="R138" s="71">
        <v>268</v>
      </c>
      <c r="T138" s="72">
        <v>16.05</v>
      </c>
      <c r="U138" s="71" t="s">
        <v>139</v>
      </c>
    </row>
    <row r="139" spans="1:21" x14ac:dyDescent="0.55000000000000004">
      <c r="A139" s="71">
        <v>646</v>
      </c>
      <c r="C139" s="73">
        <v>14.68</v>
      </c>
      <c r="F139" s="71">
        <v>268</v>
      </c>
      <c r="H139" s="72">
        <v>16.05</v>
      </c>
      <c r="I139" s="71" t="s">
        <v>139</v>
      </c>
      <c r="K139" s="71">
        <v>701</v>
      </c>
      <c r="M139" s="72">
        <v>18.45</v>
      </c>
      <c r="N139" s="71" t="s">
        <v>1</v>
      </c>
      <c r="R139" s="71">
        <v>268</v>
      </c>
      <c r="T139" s="72">
        <v>16.05</v>
      </c>
      <c r="U139" s="71" t="s">
        <v>139</v>
      </c>
    </row>
    <row r="140" spans="1:21" x14ac:dyDescent="0.55000000000000004">
      <c r="A140" s="71">
        <v>646</v>
      </c>
      <c r="C140" s="73">
        <v>14.68</v>
      </c>
      <c r="F140" s="71">
        <v>268</v>
      </c>
      <c r="H140" s="72">
        <v>16.05</v>
      </c>
      <c r="I140" s="71" t="s">
        <v>139</v>
      </c>
      <c r="K140" s="71">
        <v>826</v>
      </c>
      <c r="M140" s="72">
        <v>18.489999999999998</v>
      </c>
      <c r="N140" s="71" t="s">
        <v>1</v>
      </c>
      <c r="R140" s="71">
        <v>268</v>
      </c>
      <c r="T140" s="72">
        <v>16.05</v>
      </c>
      <c r="U140" s="71" t="s">
        <v>139</v>
      </c>
    </row>
    <row r="141" spans="1:21" x14ac:dyDescent="0.55000000000000004">
      <c r="A141" s="71">
        <v>646</v>
      </c>
      <c r="C141" s="73">
        <v>14.68</v>
      </c>
      <c r="F141" s="71">
        <v>268</v>
      </c>
      <c r="H141" s="72">
        <v>16.05</v>
      </c>
      <c r="I141" s="71" t="s">
        <v>139</v>
      </c>
      <c r="K141" s="71">
        <v>967</v>
      </c>
      <c r="M141" s="72">
        <v>18.5</v>
      </c>
      <c r="N141" s="71" t="s">
        <v>1</v>
      </c>
      <c r="R141" s="71">
        <v>268</v>
      </c>
      <c r="T141" s="72">
        <v>16.05</v>
      </c>
      <c r="U141" s="71" t="s">
        <v>139</v>
      </c>
    </row>
    <row r="142" spans="1:21" x14ac:dyDescent="0.55000000000000004">
      <c r="A142" s="71">
        <v>646</v>
      </c>
      <c r="C142" s="73">
        <v>14.68</v>
      </c>
      <c r="F142" s="71">
        <v>268</v>
      </c>
      <c r="H142" s="72">
        <v>16.05</v>
      </c>
      <c r="I142" s="71" t="s">
        <v>139</v>
      </c>
      <c r="K142" s="71">
        <v>967</v>
      </c>
      <c r="M142" s="72">
        <v>18.5</v>
      </c>
      <c r="N142" s="71" t="s">
        <v>1</v>
      </c>
      <c r="R142" s="71">
        <v>268</v>
      </c>
      <c r="T142" s="72">
        <v>16.05</v>
      </c>
      <c r="U142" s="71" t="s">
        <v>139</v>
      </c>
    </row>
    <row r="143" spans="1:21" x14ac:dyDescent="0.55000000000000004">
      <c r="A143" s="71">
        <v>646</v>
      </c>
      <c r="C143" s="73">
        <v>14.68</v>
      </c>
      <c r="F143" s="71">
        <v>268</v>
      </c>
      <c r="H143" s="72">
        <v>16.05</v>
      </c>
      <c r="I143" s="71" t="s">
        <v>139</v>
      </c>
      <c r="K143" s="71">
        <v>421</v>
      </c>
      <c r="M143" s="72">
        <v>18.5</v>
      </c>
      <c r="N143" s="71" t="s">
        <v>1</v>
      </c>
      <c r="R143" s="71">
        <v>268</v>
      </c>
      <c r="T143" s="72">
        <v>16.05</v>
      </c>
      <c r="U143" s="71" t="s">
        <v>139</v>
      </c>
    </row>
    <row r="144" spans="1:21" x14ac:dyDescent="0.55000000000000004">
      <c r="A144" s="71">
        <v>646</v>
      </c>
      <c r="C144" s="73">
        <v>14.68</v>
      </c>
      <c r="F144" s="71">
        <v>268</v>
      </c>
      <c r="H144" s="72">
        <v>16.05</v>
      </c>
      <c r="I144" s="71" t="s">
        <v>139</v>
      </c>
      <c r="K144" s="71">
        <v>423</v>
      </c>
      <c r="M144" s="72">
        <v>18.5</v>
      </c>
      <c r="N144" s="71" t="s">
        <v>1</v>
      </c>
      <c r="R144" s="71">
        <v>268</v>
      </c>
      <c r="T144" s="72">
        <v>16.05</v>
      </c>
      <c r="U144" s="71" t="s">
        <v>139</v>
      </c>
    </row>
    <row r="145" spans="1:21" x14ac:dyDescent="0.55000000000000004">
      <c r="A145" s="71">
        <v>646</v>
      </c>
      <c r="C145" s="73">
        <v>14.68</v>
      </c>
      <c r="F145" s="71">
        <v>268</v>
      </c>
      <c r="H145" s="72">
        <v>16.05</v>
      </c>
      <c r="I145" s="71" t="s">
        <v>139</v>
      </c>
      <c r="K145" s="71">
        <v>173</v>
      </c>
      <c r="M145" s="72">
        <v>18.5</v>
      </c>
      <c r="N145" s="71" t="s">
        <v>1</v>
      </c>
      <c r="R145" s="71">
        <v>268</v>
      </c>
      <c r="T145" s="72">
        <v>16.05</v>
      </c>
      <c r="U145" s="71" t="s">
        <v>139</v>
      </c>
    </row>
    <row r="146" spans="1:21" x14ac:dyDescent="0.55000000000000004">
      <c r="A146" s="71">
        <v>646</v>
      </c>
      <c r="C146" s="73">
        <v>14.68</v>
      </c>
      <c r="F146" s="71">
        <v>268</v>
      </c>
      <c r="H146" s="72">
        <v>16.05</v>
      </c>
      <c r="I146" s="71" t="s">
        <v>139</v>
      </c>
      <c r="K146" s="71">
        <v>771</v>
      </c>
      <c r="M146" s="72">
        <v>18.510000000000002</v>
      </c>
      <c r="N146" s="71" t="s">
        <v>1</v>
      </c>
      <c r="R146" s="71">
        <v>268</v>
      </c>
      <c r="T146" s="72">
        <v>16.05</v>
      </c>
      <c r="U146" s="71" t="s">
        <v>139</v>
      </c>
    </row>
    <row r="147" spans="1:21" x14ac:dyDescent="0.55000000000000004">
      <c r="A147" s="71">
        <v>646</v>
      </c>
      <c r="C147" s="73">
        <v>14.68</v>
      </c>
      <c r="F147" s="71">
        <v>268</v>
      </c>
      <c r="H147" s="72">
        <v>16.05</v>
      </c>
      <c r="I147" s="71" t="s">
        <v>139</v>
      </c>
      <c r="K147" s="71">
        <v>771</v>
      </c>
      <c r="M147" s="72">
        <v>18.510000000000002</v>
      </c>
      <c r="N147" s="71" t="s">
        <v>1</v>
      </c>
      <c r="R147" s="71">
        <v>268</v>
      </c>
      <c r="T147" s="72">
        <v>16.05</v>
      </c>
      <c r="U147" s="71" t="s">
        <v>139</v>
      </c>
    </row>
    <row r="148" spans="1:21" x14ac:dyDescent="0.55000000000000004">
      <c r="A148" s="71">
        <v>646</v>
      </c>
      <c r="C148" s="73">
        <v>14.68</v>
      </c>
      <c r="D148" s="73">
        <v>17.36</v>
      </c>
      <c r="F148" s="71">
        <v>268</v>
      </c>
      <c r="H148" s="72">
        <v>16.05</v>
      </c>
      <c r="I148" s="71" t="s">
        <v>139</v>
      </c>
      <c r="K148" s="71">
        <v>385</v>
      </c>
      <c r="M148" s="72">
        <v>18.54</v>
      </c>
      <c r="N148" s="71" t="s">
        <v>1</v>
      </c>
      <c r="R148" s="71">
        <v>268</v>
      </c>
      <c r="T148" s="72">
        <v>16.05</v>
      </c>
      <c r="U148" s="71" t="s">
        <v>139</v>
      </c>
    </row>
    <row r="149" spans="1:21" x14ac:dyDescent="0.55000000000000004">
      <c r="A149" s="71">
        <v>646</v>
      </c>
      <c r="C149" s="73">
        <v>14.68</v>
      </c>
      <c r="D149" s="73">
        <v>18.149999999999999</v>
      </c>
      <c r="F149" s="71">
        <v>268</v>
      </c>
      <c r="H149" s="72">
        <v>16.05</v>
      </c>
      <c r="I149" s="71" t="s">
        <v>139</v>
      </c>
      <c r="K149" s="71">
        <v>984</v>
      </c>
      <c r="M149" s="72">
        <v>18.559999999999999</v>
      </c>
      <c r="N149" s="71" t="s">
        <v>1</v>
      </c>
      <c r="R149" s="71">
        <v>268</v>
      </c>
      <c r="T149" s="72">
        <v>16.05</v>
      </c>
      <c r="U149" s="71" t="s">
        <v>139</v>
      </c>
    </row>
    <row r="150" spans="1:21" x14ac:dyDescent="0.55000000000000004">
      <c r="A150" s="71">
        <v>646</v>
      </c>
      <c r="C150" s="73">
        <v>14.68</v>
      </c>
      <c r="D150" s="73">
        <v>19.07</v>
      </c>
      <c r="F150" s="71">
        <v>268</v>
      </c>
      <c r="H150" s="72">
        <v>16.05</v>
      </c>
      <c r="I150" s="71" t="s">
        <v>139</v>
      </c>
      <c r="K150" s="71">
        <v>828</v>
      </c>
      <c r="M150" s="72">
        <v>18.57</v>
      </c>
      <c r="N150" s="71" t="s">
        <v>1</v>
      </c>
      <c r="R150" s="71">
        <v>268</v>
      </c>
      <c r="T150" s="72">
        <v>16.05</v>
      </c>
      <c r="U150" s="71" t="s">
        <v>139</v>
      </c>
    </row>
    <row r="151" spans="1:21" x14ac:dyDescent="0.55000000000000004">
      <c r="A151" s="71">
        <v>646</v>
      </c>
      <c r="C151" s="73">
        <v>14.68</v>
      </c>
      <c r="D151" s="73">
        <v>17.36</v>
      </c>
      <c r="F151" s="71">
        <v>268</v>
      </c>
      <c r="H151" s="72">
        <v>16.05</v>
      </c>
      <c r="I151" s="71" t="s">
        <v>139</v>
      </c>
      <c r="K151" s="71">
        <v>828</v>
      </c>
      <c r="M151" s="72">
        <v>18.57</v>
      </c>
      <c r="N151" s="71" t="s">
        <v>1</v>
      </c>
      <c r="R151" s="71">
        <v>268</v>
      </c>
      <c r="T151" s="72">
        <v>16.05</v>
      </c>
      <c r="U151" s="71" t="s">
        <v>139</v>
      </c>
    </row>
    <row r="152" spans="1:21" x14ac:dyDescent="0.55000000000000004">
      <c r="A152" s="71">
        <v>646</v>
      </c>
      <c r="C152" s="73">
        <v>14.68</v>
      </c>
      <c r="D152" s="73">
        <v>17.36</v>
      </c>
      <c r="F152" s="71">
        <v>268</v>
      </c>
      <c r="H152" s="72">
        <v>16.05</v>
      </c>
      <c r="I152" s="71" t="s">
        <v>139</v>
      </c>
      <c r="K152" s="71">
        <v>506</v>
      </c>
      <c r="M152" s="72">
        <v>18.59</v>
      </c>
      <c r="N152" s="71" t="s">
        <v>1</v>
      </c>
      <c r="R152" s="71">
        <v>268</v>
      </c>
      <c r="T152" s="72">
        <v>16.05</v>
      </c>
      <c r="U152" s="71" t="s">
        <v>139</v>
      </c>
    </row>
    <row r="153" spans="1:21" x14ac:dyDescent="0.55000000000000004">
      <c r="A153" s="71">
        <v>910</v>
      </c>
      <c r="C153" s="73">
        <v>14.690013059117424</v>
      </c>
      <c r="F153" s="71">
        <v>268</v>
      </c>
      <c r="H153" s="72">
        <v>16.05</v>
      </c>
      <c r="I153" s="71" t="s">
        <v>139</v>
      </c>
      <c r="K153" s="71">
        <v>212</v>
      </c>
      <c r="M153" s="72">
        <v>18.64</v>
      </c>
      <c r="N153" s="71" t="s">
        <v>1</v>
      </c>
      <c r="R153" s="71">
        <v>268</v>
      </c>
      <c r="T153" s="72">
        <v>16.05</v>
      </c>
      <c r="U153" s="71" t="s">
        <v>139</v>
      </c>
    </row>
    <row r="154" spans="1:21" x14ac:dyDescent="0.55000000000000004">
      <c r="A154" s="71">
        <v>910</v>
      </c>
      <c r="C154" s="73">
        <v>14.690203998307924</v>
      </c>
      <c r="F154" s="71">
        <v>268</v>
      </c>
      <c r="H154" s="72">
        <v>16.05</v>
      </c>
      <c r="I154" s="71" t="s">
        <v>139</v>
      </c>
      <c r="K154" s="71">
        <v>203</v>
      </c>
      <c r="M154" s="72">
        <v>18.649999999999999</v>
      </c>
      <c r="N154" s="71" t="s">
        <v>1</v>
      </c>
      <c r="R154" s="71">
        <v>268</v>
      </c>
      <c r="T154" s="72">
        <v>16.05</v>
      </c>
      <c r="U154" s="71" t="s">
        <v>139</v>
      </c>
    </row>
    <row r="155" spans="1:21" x14ac:dyDescent="0.55000000000000004">
      <c r="A155" s="71">
        <v>756</v>
      </c>
      <c r="C155" s="75">
        <v>14.78</v>
      </c>
      <c r="D155" s="75"/>
      <c r="F155" s="71">
        <v>268</v>
      </c>
      <c r="H155" s="72">
        <v>16.05</v>
      </c>
      <c r="I155" s="71" t="s">
        <v>139</v>
      </c>
      <c r="K155" s="71">
        <v>910</v>
      </c>
      <c r="M155" s="72">
        <v>18.657618807729534</v>
      </c>
      <c r="N155" s="71" t="s">
        <v>1</v>
      </c>
      <c r="R155" s="71">
        <v>268</v>
      </c>
      <c r="T155" s="72">
        <v>16.05</v>
      </c>
      <c r="U155" s="71" t="s">
        <v>139</v>
      </c>
    </row>
    <row r="156" spans="1:21" x14ac:dyDescent="0.55000000000000004">
      <c r="A156" s="71">
        <v>777</v>
      </c>
      <c r="C156" s="73">
        <v>14.78</v>
      </c>
      <c r="F156" s="71">
        <v>268</v>
      </c>
      <c r="H156" s="72">
        <v>16.05</v>
      </c>
      <c r="I156" s="71" t="s">
        <v>139</v>
      </c>
      <c r="K156" s="71">
        <v>910</v>
      </c>
      <c r="M156" s="72">
        <v>18.657650727387725</v>
      </c>
      <c r="N156" s="71" t="s">
        <v>1</v>
      </c>
      <c r="R156" s="71">
        <v>268</v>
      </c>
      <c r="T156" s="72">
        <v>16.05</v>
      </c>
      <c r="U156" s="71" t="s">
        <v>139</v>
      </c>
    </row>
    <row r="157" spans="1:21" x14ac:dyDescent="0.55000000000000004">
      <c r="A157" s="71">
        <v>313</v>
      </c>
      <c r="C157" s="73">
        <v>14.84</v>
      </c>
      <c r="F157" s="71">
        <v>268</v>
      </c>
      <c r="H157" s="72">
        <v>16.05</v>
      </c>
      <c r="I157" s="71" t="s">
        <v>139</v>
      </c>
      <c r="K157" s="71">
        <v>910</v>
      </c>
      <c r="M157" s="72">
        <v>18.660383414455342</v>
      </c>
      <c r="N157" s="71" t="s">
        <v>1</v>
      </c>
      <c r="R157" s="71">
        <v>268</v>
      </c>
      <c r="T157" s="72">
        <v>16.05</v>
      </c>
      <c r="U157" s="71" t="s">
        <v>139</v>
      </c>
    </row>
    <row r="158" spans="1:21" x14ac:dyDescent="0.55000000000000004">
      <c r="A158" s="71">
        <v>313</v>
      </c>
      <c r="C158" s="73">
        <v>14.84</v>
      </c>
      <c r="F158" s="71">
        <v>268</v>
      </c>
      <c r="H158" s="72">
        <v>16.05</v>
      </c>
      <c r="I158" s="71" t="s">
        <v>139</v>
      </c>
      <c r="K158" s="71">
        <v>604</v>
      </c>
      <c r="M158" s="72">
        <v>18.71</v>
      </c>
      <c r="N158" s="71" t="s">
        <v>1</v>
      </c>
      <c r="R158" s="71">
        <v>268</v>
      </c>
      <c r="T158" s="72">
        <v>16.05</v>
      </c>
      <c r="U158" s="71" t="s">
        <v>139</v>
      </c>
    </row>
    <row r="159" spans="1:21" x14ac:dyDescent="0.55000000000000004">
      <c r="A159" s="71">
        <v>824</v>
      </c>
      <c r="C159" s="73">
        <v>14.92</v>
      </c>
      <c r="F159" s="71">
        <v>268</v>
      </c>
      <c r="H159" s="72">
        <v>16.05</v>
      </c>
      <c r="I159" s="71" t="s">
        <v>139</v>
      </c>
      <c r="K159" s="71">
        <v>910</v>
      </c>
      <c r="M159" s="72">
        <v>18.720000000000006</v>
      </c>
      <c r="N159" s="71" t="s">
        <v>1</v>
      </c>
      <c r="R159" s="71">
        <v>268</v>
      </c>
      <c r="T159" s="72">
        <v>16.05</v>
      </c>
      <c r="U159" s="71" t="s">
        <v>139</v>
      </c>
    </row>
    <row r="160" spans="1:21" x14ac:dyDescent="0.55000000000000004">
      <c r="A160" s="71">
        <v>351</v>
      </c>
      <c r="C160" s="73">
        <v>14.98</v>
      </c>
      <c r="F160" s="71">
        <v>268</v>
      </c>
      <c r="H160" s="72">
        <v>16.05</v>
      </c>
      <c r="I160" s="71" t="s">
        <v>139</v>
      </c>
      <c r="K160" s="71">
        <v>910</v>
      </c>
      <c r="M160" s="72">
        <v>18.720000000000013</v>
      </c>
      <c r="N160" s="71" t="s">
        <v>1</v>
      </c>
      <c r="R160" s="71">
        <v>268</v>
      </c>
      <c r="T160" s="72">
        <v>16.05</v>
      </c>
      <c r="U160" s="71" t="s">
        <v>139</v>
      </c>
    </row>
    <row r="161" spans="1:21" x14ac:dyDescent="0.55000000000000004">
      <c r="A161" s="71">
        <v>351</v>
      </c>
      <c r="C161" s="73">
        <v>14.98</v>
      </c>
      <c r="F161" s="71">
        <v>268</v>
      </c>
      <c r="H161" s="72">
        <v>16.05</v>
      </c>
      <c r="I161" s="71" t="s">
        <v>139</v>
      </c>
      <c r="K161" s="71">
        <v>766</v>
      </c>
      <c r="M161" s="72">
        <v>18.73</v>
      </c>
      <c r="N161" s="71" t="s">
        <v>1</v>
      </c>
      <c r="R161" s="71">
        <v>268</v>
      </c>
      <c r="T161" s="72">
        <v>16.05</v>
      </c>
      <c r="U161" s="71" t="s">
        <v>139</v>
      </c>
    </row>
    <row r="162" spans="1:21" x14ac:dyDescent="0.55000000000000004">
      <c r="A162" s="71">
        <v>351</v>
      </c>
      <c r="C162" s="73">
        <v>14.98</v>
      </c>
      <c r="F162" s="71">
        <v>268</v>
      </c>
      <c r="H162" s="72">
        <v>16.05</v>
      </c>
      <c r="I162" s="71" t="s">
        <v>139</v>
      </c>
      <c r="K162" s="71">
        <v>766</v>
      </c>
      <c r="M162" s="72">
        <v>18.73</v>
      </c>
      <c r="N162" s="71" t="s">
        <v>1</v>
      </c>
      <c r="R162" s="71">
        <v>268</v>
      </c>
      <c r="T162" s="72">
        <v>16.05</v>
      </c>
      <c r="U162" s="71" t="s">
        <v>139</v>
      </c>
    </row>
    <row r="163" spans="1:21" x14ac:dyDescent="0.55000000000000004">
      <c r="A163" s="71">
        <v>351</v>
      </c>
      <c r="C163" s="73">
        <v>14.98</v>
      </c>
      <c r="F163" s="71">
        <v>268</v>
      </c>
      <c r="H163" s="72">
        <v>16.05</v>
      </c>
      <c r="I163" s="71" t="s">
        <v>139</v>
      </c>
      <c r="K163" s="71">
        <v>756</v>
      </c>
      <c r="M163" s="72">
        <v>18.73</v>
      </c>
      <c r="N163" s="71" t="s">
        <v>1</v>
      </c>
      <c r="R163" s="71">
        <v>268</v>
      </c>
      <c r="T163" s="72">
        <v>16.05</v>
      </c>
      <c r="U163" s="71" t="s">
        <v>139</v>
      </c>
    </row>
    <row r="164" spans="1:21" x14ac:dyDescent="0.55000000000000004">
      <c r="A164" s="71">
        <v>646</v>
      </c>
      <c r="C164" s="75">
        <v>14.98</v>
      </c>
      <c r="D164" s="75"/>
      <c r="F164" s="71">
        <v>268</v>
      </c>
      <c r="H164" s="72">
        <v>16.05</v>
      </c>
      <c r="I164" s="71" t="s">
        <v>139</v>
      </c>
      <c r="K164" s="71">
        <v>234</v>
      </c>
      <c r="M164" s="72">
        <v>18.75</v>
      </c>
      <c r="N164" s="71" t="s">
        <v>1</v>
      </c>
      <c r="R164" s="71">
        <v>268</v>
      </c>
      <c r="T164" s="72">
        <v>16.05</v>
      </c>
      <c r="U164" s="71" t="s">
        <v>139</v>
      </c>
    </row>
    <row r="165" spans="1:21" x14ac:dyDescent="0.55000000000000004">
      <c r="A165" s="71">
        <v>646</v>
      </c>
      <c r="C165" s="75">
        <v>14.98</v>
      </c>
      <c r="D165" s="75">
        <v>19.5</v>
      </c>
      <c r="F165" s="71">
        <v>268</v>
      </c>
      <c r="H165" s="72">
        <v>16.23</v>
      </c>
      <c r="I165" s="71" t="s">
        <v>139</v>
      </c>
      <c r="K165" s="71">
        <v>351</v>
      </c>
      <c r="M165" s="72">
        <v>18.78</v>
      </c>
      <c r="N165" s="71" t="s">
        <v>1</v>
      </c>
      <c r="R165" s="71">
        <v>268</v>
      </c>
      <c r="T165" s="72">
        <v>16.23</v>
      </c>
      <c r="U165" s="71" t="s">
        <v>139</v>
      </c>
    </row>
    <row r="166" spans="1:21" x14ac:dyDescent="0.55000000000000004">
      <c r="A166" s="71">
        <v>646</v>
      </c>
      <c r="C166" s="75">
        <v>14.98</v>
      </c>
      <c r="D166" s="75">
        <v>19</v>
      </c>
      <c r="F166" s="71">
        <v>268</v>
      </c>
      <c r="H166" s="72">
        <v>16.23</v>
      </c>
      <c r="I166" s="71" t="s">
        <v>139</v>
      </c>
      <c r="K166" s="71">
        <v>788</v>
      </c>
      <c r="M166" s="72">
        <v>18.8</v>
      </c>
      <c r="N166" s="71" t="s">
        <v>1</v>
      </c>
      <c r="R166" s="71">
        <v>268</v>
      </c>
      <c r="T166" s="72">
        <v>16.23</v>
      </c>
      <c r="U166" s="71" t="s">
        <v>139</v>
      </c>
    </row>
    <row r="167" spans="1:21" x14ac:dyDescent="0.55000000000000004">
      <c r="A167" s="71">
        <v>646</v>
      </c>
      <c r="C167" s="75">
        <v>14.98</v>
      </c>
      <c r="D167" s="75">
        <v>17</v>
      </c>
      <c r="F167" s="71">
        <v>268</v>
      </c>
      <c r="H167" s="72">
        <v>16.66</v>
      </c>
      <c r="I167" s="71" t="s">
        <v>139</v>
      </c>
      <c r="K167" s="71">
        <v>788</v>
      </c>
      <c r="M167" s="72">
        <v>18.8</v>
      </c>
      <c r="N167" s="71" t="s">
        <v>1</v>
      </c>
      <c r="R167" s="71">
        <v>268</v>
      </c>
      <c r="T167" s="72">
        <v>16.66</v>
      </c>
      <c r="U167" s="71" t="s">
        <v>139</v>
      </c>
    </row>
    <row r="168" spans="1:21" x14ac:dyDescent="0.55000000000000004">
      <c r="A168" s="71">
        <v>646</v>
      </c>
      <c r="C168" s="75">
        <v>14.98</v>
      </c>
      <c r="D168" s="75">
        <v>19.5</v>
      </c>
      <c r="F168" s="71">
        <v>268</v>
      </c>
      <c r="H168" s="72">
        <v>17.13</v>
      </c>
      <c r="I168" s="71" t="s">
        <v>139</v>
      </c>
      <c r="K168" s="71">
        <v>788</v>
      </c>
      <c r="M168" s="72">
        <v>18.8</v>
      </c>
      <c r="N168" s="71" t="s">
        <v>1</v>
      </c>
      <c r="R168" s="71">
        <v>268</v>
      </c>
      <c r="T168" s="72">
        <v>17.13</v>
      </c>
      <c r="U168" s="71" t="s">
        <v>139</v>
      </c>
    </row>
    <row r="169" spans="1:21" x14ac:dyDescent="0.55000000000000004">
      <c r="A169" s="71">
        <v>646</v>
      </c>
      <c r="C169" s="75">
        <v>14.98</v>
      </c>
      <c r="D169" s="75">
        <v>15.45</v>
      </c>
      <c r="F169" s="71">
        <v>268</v>
      </c>
      <c r="H169" s="72">
        <v>17.3</v>
      </c>
      <c r="I169" s="71" t="s">
        <v>139</v>
      </c>
      <c r="K169" s="71">
        <v>385</v>
      </c>
      <c r="M169" s="72">
        <v>18.8</v>
      </c>
      <c r="N169" s="71" t="s">
        <v>1</v>
      </c>
      <c r="R169" s="71">
        <v>268</v>
      </c>
      <c r="T169" s="72">
        <v>17.3</v>
      </c>
      <c r="U169" s="71" t="s">
        <v>139</v>
      </c>
    </row>
    <row r="170" spans="1:21" x14ac:dyDescent="0.55000000000000004">
      <c r="A170" s="71">
        <v>646</v>
      </c>
      <c r="C170" s="75">
        <v>14.98</v>
      </c>
      <c r="D170" s="75">
        <v>15.45</v>
      </c>
      <c r="F170" s="71">
        <v>268</v>
      </c>
      <c r="H170" s="72">
        <v>17.47</v>
      </c>
      <c r="I170" s="71" t="s">
        <v>139</v>
      </c>
      <c r="K170" s="71">
        <v>997</v>
      </c>
      <c r="M170" s="72">
        <v>18.854040000000001</v>
      </c>
      <c r="N170" s="71" t="s">
        <v>1</v>
      </c>
      <c r="R170" s="71">
        <v>268</v>
      </c>
      <c r="T170" s="72">
        <v>17.47</v>
      </c>
      <c r="U170" s="71" t="s">
        <v>139</v>
      </c>
    </row>
    <row r="171" spans="1:21" x14ac:dyDescent="0.55000000000000004">
      <c r="A171" s="71">
        <v>646</v>
      </c>
      <c r="C171" s="75">
        <v>14.98</v>
      </c>
      <c r="D171" s="75">
        <v>16.079999999999998</v>
      </c>
      <c r="F171" s="71">
        <v>268</v>
      </c>
      <c r="H171" s="72">
        <v>17.47</v>
      </c>
      <c r="I171" s="71" t="s">
        <v>139</v>
      </c>
      <c r="K171" s="71">
        <v>726</v>
      </c>
      <c r="M171" s="72">
        <v>18.88</v>
      </c>
      <c r="N171" s="71" t="s">
        <v>1</v>
      </c>
      <c r="R171" s="71">
        <v>268</v>
      </c>
      <c r="T171" s="72">
        <v>17.47</v>
      </c>
      <c r="U171" s="71" t="s">
        <v>139</v>
      </c>
    </row>
    <row r="172" spans="1:21" x14ac:dyDescent="0.55000000000000004">
      <c r="A172" s="71">
        <v>646</v>
      </c>
      <c r="C172" s="75">
        <v>14.98</v>
      </c>
      <c r="D172" s="75">
        <v>15</v>
      </c>
      <c r="F172" s="71">
        <v>268</v>
      </c>
      <c r="H172" s="72">
        <v>18.48</v>
      </c>
      <c r="I172" s="71" t="s">
        <v>139</v>
      </c>
      <c r="K172" s="71">
        <v>777</v>
      </c>
      <c r="M172" s="72">
        <v>18.91</v>
      </c>
      <c r="N172" s="71" t="s">
        <v>1</v>
      </c>
      <c r="R172" s="71">
        <v>268</v>
      </c>
      <c r="T172" s="72">
        <v>18.48</v>
      </c>
      <c r="U172" s="71" t="s">
        <v>139</v>
      </c>
    </row>
    <row r="173" spans="1:21" x14ac:dyDescent="0.55000000000000004">
      <c r="A173" s="71">
        <v>646</v>
      </c>
      <c r="C173" s="75">
        <v>14.98</v>
      </c>
      <c r="D173" s="75"/>
      <c r="F173" s="71">
        <v>277</v>
      </c>
      <c r="H173" s="72">
        <v>14.36</v>
      </c>
      <c r="I173" s="71" t="s">
        <v>139</v>
      </c>
      <c r="K173" s="71">
        <v>967</v>
      </c>
      <c r="M173" s="72">
        <v>19</v>
      </c>
      <c r="N173" s="71" t="s">
        <v>1</v>
      </c>
      <c r="R173" s="71">
        <v>277</v>
      </c>
      <c r="T173" s="72">
        <v>14.36</v>
      </c>
      <c r="U173" s="71" t="s">
        <v>139</v>
      </c>
    </row>
    <row r="174" spans="1:21" x14ac:dyDescent="0.55000000000000004">
      <c r="A174" s="71">
        <v>646</v>
      </c>
      <c r="C174" s="75">
        <v>14.98</v>
      </c>
      <c r="D174" s="75"/>
      <c r="F174" s="71">
        <v>277</v>
      </c>
      <c r="H174" s="72">
        <v>15</v>
      </c>
      <c r="I174" s="71" t="s">
        <v>139</v>
      </c>
      <c r="K174" s="71">
        <v>883</v>
      </c>
      <c r="M174" s="72">
        <v>19</v>
      </c>
      <c r="N174" s="71" t="s">
        <v>1</v>
      </c>
      <c r="R174" s="71">
        <v>277</v>
      </c>
      <c r="T174" s="72">
        <v>15</v>
      </c>
      <c r="U174" s="71" t="s">
        <v>139</v>
      </c>
    </row>
    <row r="175" spans="1:21" x14ac:dyDescent="0.55000000000000004">
      <c r="A175" s="71">
        <v>646</v>
      </c>
      <c r="C175" s="75">
        <v>14.98</v>
      </c>
      <c r="D175" s="75"/>
      <c r="F175" s="71">
        <v>277</v>
      </c>
      <c r="H175" s="72">
        <v>15</v>
      </c>
      <c r="I175" s="71" t="s">
        <v>139</v>
      </c>
      <c r="K175" s="71">
        <v>346</v>
      </c>
      <c r="M175" s="72">
        <v>19</v>
      </c>
      <c r="N175" s="71" t="s">
        <v>1</v>
      </c>
      <c r="R175" s="71">
        <v>277</v>
      </c>
      <c r="T175" s="72">
        <v>15</v>
      </c>
      <c r="U175" s="71" t="s">
        <v>139</v>
      </c>
    </row>
    <row r="176" spans="1:21" x14ac:dyDescent="0.55000000000000004">
      <c r="A176" s="71">
        <v>646</v>
      </c>
      <c r="C176" s="75">
        <v>14.98</v>
      </c>
      <c r="D176" s="75"/>
      <c r="F176" s="71">
        <v>277</v>
      </c>
      <c r="H176" s="72">
        <v>16.502800000000001</v>
      </c>
      <c r="I176" s="71" t="s">
        <v>139</v>
      </c>
      <c r="K176" s="71">
        <v>316</v>
      </c>
      <c r="M176" s="72">
        <v>19</v>
      </c>
      <c r="N176" s="71" t="s">
        <v>1</v>
      </c>
      <c r="R176" s="71">
        <v>277</v>
      </c>
      <c r="T176" s="72">
        <v>16.502800000000001</v>
      </c>
      <c r="U176" s="71" t="s">
        <v>139</v>
      </c>
    </row>
    <row r="177" spans="1:21" x14ac:dyDescent="0.55000000000000004">
      <c r="A177" s="71">
        <v>646</v>
      </c>
      <c r="C177" s="73">
        <v>14.98</v>
      </c>
      <c r="F177" s="71">
        <v>277</v>
      </c>
      <c r="H177" s="72">
        <v>16.922000000000001</v>
      </c>
      <c r="I177" s="71" t="s">
        <v>139</v>
      </c>
      <c r="K177" s="71">
        <v>142</v>
      </c>
      <c r="M177" s="72">
        <v>19.000800000000002</v>
      </c>
      <c r="N177" s="71" t="s">
        <v>1</v>
      </c>
      <c r="R177" s="71">
        <v>277</v>
      </c>
      <c r="T177" s="72">
        <v>16.922000000000001</v>
      </c>
      <c r="U177" s="71" t="s">
        <v>139</v>
      </c>
    </row>
    <row r="178" spans="1:21" x14ac:dyDescent="0.55000000000000004">
      <c r="A178" s="71">
        <v>646</v>
      </c>
      <c r="C178" s="73">
        <v>14.98</v>
      </c>
      <c r="D178" s="73">
        <v>20</v>
      </c>
      <c r="F178" s="71">
        <v>277</v>
      </c>
      <c r="H178" s="72">
        <v>20.1828</v>
      </c>
      <c r="I178" s="71" t="s">
        <v>139</v>
      </c>
      <c r="K178" s="71">
        <v>572</v>
      </c>
      <c r="M178" s="72">
        <v>19.07</v>
      </c>
      <c r="N178" s="71" t="s">
        <v>1</v>
      </c>
      <c r="R178" s="71">
        <v>277</v>
      </c>
      <c r="T178" s="72">
        <v>20.1828</v>
      </c>
      <c r="U178" s="71" t="s">
        <v>139</v>
      </c>
    </row>
    <row r="179" spans="1:21" x14ac:dyDescent="0.55000000000000004">
      <c r="A179" s="71">
        <v>646</v>
      </c>
      <c r="C179" s="73">
        <v>14.98</v>
      </c>
      <c r="D179" s="73">
        <v>20</v>
      </c>
      <c r="F179" s="71">
        <v>288</v>
      </c>
      <c r="H179" s="72">
        <v>15.25</v>
      </c>
      <c r="I179" s="71" t="s">
        <v>139</v>
      </c>
      <c r="K179" s="71">
        <v>542</v>
      </c>
      <c r="M179" s="72">
        <v>19.09</v>
      </c>
      <c r="N179" s="71" t="s">
        <v>1</v>
      </c>
      <c r="R179" s="71">
        <v>288</v>
      </c>
      <c r="T179" s="72">
        <v>15.25</v>
      </c>
      <c r="U179" s="71" t="s">
        <v>139</v>
      </c>
    </row>
    <row r="180" spans="1:21" x14ac:dyDescent="0.55000000000000004">
      <c r="A180" s="71">
        <v>606</v>
      </c>
      <c r="C180" s="73">
        <v>14.99</v>
      </c>
      <c r="D180" s="73">
        <v>20</v>
      </c>
      <c r="F180" s="71">
        <v>288</v>
      </c>
      <c r="H180" s="72">
        <v>15.25</v>
      </c>
      <c r="I180" s="71" t="s">
        <v>139</v>
      </c>
      <c r="K180" s="71">
        <v>542</v>
      </c>
      <c r="M180" s="72">
        <v>19.09</v>
      </c>
      <c r="N180" s="71" t="s">
        <v>1</v>
      </c>
      <c r="R180" s="71">
        <v>288</v>
      </c>
      <c r="T180" s="72">
        <v>15.25</v>
      </c>
      <c r="U180" s="71" t="s">
        <v>139</v>
      </c>
    </row>
    <row r="181" spans="1:21" x14ac:dyDescent="0.55000000000000004">
      <c r="A181" s="71">
        <v>164</v>
      </c>
      <c r="C181" s="73">
        <v>15</v>
      </c>
      <c r="D181" s="73">
        <v>20</v>
      </c>
      <c r="F181" s="71">
        <v>288</v>
      </c>
      <c r="H181" s="72">
        <v>15.75</v>
      </c>
      <c r="I181" s="71" t="s">
        <v>139</v>
      </c>
      <c r="K181" s="71">
        <v>452</v>
      </c>
      <c r="M181" s="72">
        <v>19.12</v>
      </c>
      <c r="N181" s="71" t="s">
        <v>1</v>
      </c>
      <c r="R181" s="71">
        <v>288</v>
      </c>
      <c r="T181" s="72">
        <v>15.75</v>
      </c>
      <c r="U181" s="71" t="s">
        <v>139</v>
      </c>
    </row>
    <row r="182" spans="1:21" x14ac:dyDescent="0.55000000000000004">
      <c r="A182" s="71">
        <v>951</v>
      </c>
      <c r="C182" s="73">
        <v>15</v>
      </c>
      <c r="F182" s="71">
        <v>288</v>
      </c>
      <c r="H182" s="72">
        <v>15.75</v>
      </c>
      <c r="I182" s="71" t="s">
        <v>139</v>
      </c>
      <c r="K182" s="71">
        <v>164</v>
      </c>
      <c r="M182" s="72">
        <v>19.14</v>
      </c>
      <c r="N182" s="71" t="s">
        <v>1</v>
      </c>
      <c r="R182" s="71">
        <v>288</v>
      </c>
      <c r="T182" s="72">
        <v>15.75</v>
      </c>
      <c r="U182" s="71" t="s">
        <v>139</v>
      </c>
    </row>
    <row r="183" spans="1:21" x14ac:dyDescent="0.55000000000000004">
      <c r="A183" s="71">
        <v>951</v>
      </c>
      <c r="C183" s="73">
        <v>15</v>
      </c>
      <c r="F183" s="71">
        <v>288</v>
      </c>
      <c r="H183" s="72">
        <v>16.25</v>
      </c>
      <c r="I183" s="71" t="s">
        <v>139</v>
      </c>
      <c r="K183" s="71">
        <v>928</v>
      </c>
      <c r="M183" s="72">
        <v>19.149999999999999</v>
      </c>
      <c r="N183" s="71" t="s">
        <v>1</v>
      </c>
      <c r="R183" s="71">
        <v>288</v>
      </c>
      <c r="T183" s="72">
        <v>16.25</v>
      </c>
      <c r="U183" s="71" t="s">
        <v>139</v>
      </c>
    </row>
    <row r="184" spans="1:21" x14ac:dyDescent="0.55000000000000004">
      <c r="A184" s="71">
        <v>951</v>
      </c>
      <c r="C184" s="73">
        <v>15</v>
      </c>
      <c r="F184" s="71">
        <v>313</v>
      </c>
      <c r="H184" s="72">
        <v>14.84</v>
      </c>
      <c r="I184" s="71" t="s">
        <v>139</v>
      </c>
      <c r="K184" s="71">
        <v>861</v>
      </c>
      <c r="M184" s="72">
        <v>19.170000000000002</v>
      </c>
      <c r="N184" s="71" t="s">
        <v>1</v>
      </c>
      <c r="R184" s="71">
        <v>313</v>
      </c>
      <c r="T184" s="72">
        <v>14.84</v>
      </c>
      <c r="U184" s="71" t="s">
        <v>139</v>
      </c>
    </row>
    <row r="185" spans="1:21" x14ac:dyDescent="0.55000000000000004">
      <c r="A185" s="71">
        <v>951</v>
      </c>
      <c r="C185" s="73">
        <v>15</v>
      </c>
      <c r="F185" s="71">
        <v>313</v>
      </c>
      <c r="H185" s="72">
        <v>14.84</v>
      </c>
      <c r="I185" s="71" t="s">
        <v>139</v>
      </c>
      <c r="K185" s="71">
        <v>756</v>
      </c>
      <c r="M185" s="72">
        <v>19.190000000000001</v>
      </c>
      <c r="N185" s="71" t="s">
        <v>1</v>
      </c>
      <c r="R185" s="71">
        <v>313</v>
      </c>
      <c r="T185" s="72">
        <v>14.84</v>
      </c>
      <c r="U185" s="71" t="s">
        <v>139</v>
      </c>
    </row>
    <row r="186" spans="1:21" x14ac:dyDescent="0.55000000000000004">
      <c r="A186" s="71">
        <v>951</v>
      </c>
      <c r="C186" s="73">
        <v>15</v>
      </c>
      <c r="F186" s="71">
        <v>313</v>
      </c>
      <c r="H186" s="72">
        <v>15.19</v>
      </c>
      <c r="I186" s="71" t="s">
        <v>139</v>
      </c>
      <c r="K186" s="71">
        <v>756</v>
      </c>
      <c r="M186" s="72">
        <v>19.190000000000001</v>
      </c>
      <c r="N186" s="71" t="s">
        <v>1</v>
      </c>
      <c r="R186" s="71">
        <v>313</v>
      </c>
      <c r="T186" s="72">
        <v>15.19</v>
      </c>
      <c r="U186" s="71" t="s">
        <v>139</v>
      </c>
    </row>
    <row r="187" spans="1:21" x14ac:dyDescent="0.55000000000000004">
      <c r="A187" s="71">
        <v>788</v>
      </c>
      <c r="C187" s="73">
        <v>15</v>
      </c>
      <c r="F187" s="71">
        <v>313</v>
      </c>
      <c r="H187" s="72">
        <v>15.19</v>
      </c>
      <c r="I187" s="71" t="s">
        <v>139</v>
      </c>
      <c r="K187" s="71">
        <v>173</v>
      </c>
      <c r="M187" s="72">
        <v>19.2</v>
      </c>
      <c r="N187" s="71" t="s">
        <v>1</v>
      </c>
      <c r="R187" s="71">
        <v>313</v>
      </c>
      <c r="T187" s="72">
        <v>15.19</v>
      </c>
      <c r="U187" s="71" t="s">
        <v>139</v>
      </c>
    </row>
    <row r="188" spans="1:21" x14ac:dyDescent="0.55000000000000004">
      <c r="A188" s="71">
        <v>788</v>
      </c>
      <c r="C188" s="73">
        <v>15</v>
      </c>
      <c r="D188" s="73">
        <v>18.649999999999999</v>
      </c>
      <c r="F188" s="71">
        <v>313</v>
      </c>
      <c r="H188" s="72">
        <v>15.6</v>
      </c>
      <c r="I188" s="71" t="s">
        <v>139</v>
      </c>
      <c r="K188" s="71">
        <v>479</v>
      </c>
      <c r="M188" s="72">
        <v>19.25</v>
      </c>
      <c r="N188" s="71" t="s">
        <v>1</v>
      </c>
      <c r="R188" s="71">
        <v>313</v>
      </c>
      <c r="T188" s="72">
        <v>15.6</v>
      </c>
      <c r="U188" s="71" t="s">
        <v>139</v>
      </c>
    </row>
    <row r="189" spans="1:21" x14ac:dyDescent="0.55000000000000004">
      <c r="A189" s="71">
        <v>788</v>
      </c>
      <c r="C189" s="73">
        <v>15</v>
      </c>
      <c r="D189" s="73">
        <v>17.95</v>
      </c>
      <c r="F189" s="71">
        <v>313</v>
      </c>
      <c r="H189" s="72">
        <v>16.21</v>
      </c>
      <c r="I189" s="71" t="s">
        <v>139</v>
      </c>
      <c r="K189" s="71">
        <v>926</v>
      </c>
      <c r="M189" s="72">
        <v>19.28</v>
      </c>
      <c r="N189" s="71" t="s">
        <v>1</v>
      </c>
      <c r="R189" s="71">
        <v>313</v>
      </c>
      <c r="T189" s="72">
        <v>16.21</v>
      </c>
      <c r="U189" s="71" t="s">
        <v>139</v>
      </c>
    </row>
    <row r="190" spans="1:21" x14ac:dyDescent="0.55000000000000004">
      <c r="A190" s="71">
        <v>928</v>
      </c>
      <c r="C190" s="73">
        <v>15</v>
      </c>
      <c r="F190" s="71">
        <v>313</v>
      </c>
      <c r="H190" s="72">
        <v>17.119199999999999</v>
      </c>
      <c r="I190" s="71" t="s">
        <v>139</v>
      </c>
      <c r="K190" s="71">
        <v>336</v>
      </c>
      <c r="M190" s="72">
        <v>19.43</v>
      </c>
      <c r="N190" s="71" t="s">
        <v>1</v>
      </c>
      <c r="R190" s="71">
        <v>313</v>
      </c>
      <c r="T190" s="72">
        <v>17.119199999999999</v>
      </c>
      <c r="U190" s="71" t="s">
        <v>139</v>
      </c>
    </row>
    <row r="191" spans="1:21" x14ac:dyDescent="0.55000000000000004">
      <c r="A191" s="71">
        <v>572</v>
      </c>
      <c r="C191" s="73">
        <v>15</v>
      </c>
      <c r="F191" s="71">
        <v>313</v>
      </c>
      <c r="H191" s="72">
        <v>17.12</v>
      </c>
      <c r="I191" s="71" t="s">
        <v>139</v>
      </c>
      <c r="K191" s="71">
        <v>346</v>
      </c>
      <c r="M191" s="72">
        <v>19.5</v>
      </c>
      <c r="N191" s="71" t="s">
        <v>1</v>
      </c>
      <c r="R191" s="71">
        <v>313</v>
      </c>
      <c r="T191" s="72">
        <v>17.12</v>
      </c>
      <c r="U191" s="71" t="s">
        <v>139</v>
      </c>
    </row>
    <row r="192" spans="1:21" x14ac:dyDescent="0.55000000000000004">
      <c r="A192" s="71">
        <v>572</v>
      </c>
      <c r="C192" s="73">
        <v>15</v>
      </c>
      <c r="F192" s="71">
        <v>313</v>
      </c>
      <c r="H192" s="72">
        <v>17.12</v>
      </c>
      <c r="I192" s="71" t="s">
        <v>139</v>
      </c>
      <c r="K192" s="71">
        <v>346</v>
      </c>
      <c r="M192" s="72">
        <v>19.5</v>
      </c>
      <c r="N192" s="71" t="s">
        <v>1</v>
      </c>
      <c r="R192" s="71">
        <v>313</v>
      </c>
      <c r="T192" s="72">
        <v>17.12</v>
      </c>
      <c r="U192" s="71" t="s">
        <v>139</v>
      </c>
    </row>
    <row r="193" spans="1:21" x14ac:dyDescent="0.55000000000000004">
      <c r="A193" s="71">
        <v>572</v>
      </c>
      <c r="C193" s="73">
        <v>15</v>
      </c>
      <c r="F193" s="71">
        <v>313</v>
      </c>
      <c r="H193" s="72">
        <v>17.45</v>
      </c>
      <c r="I193" s="71" t="s">
        <v>139</v>
      </c>
      <c r="K193" s="71">
        <v>690</v>
      </c>
      <c r="M193" s="72">
        <v>19.5</v>
      </c>
      <c r="N193" s="71" t="s">
        <v>1</v>
      </c>
      <c r="R193" s="71">
        <v>313</v>
      </c>
      <c r="T193" s="72">
        <v>17.45</v>
      </c>
      <c r="U193" s="71" t="s">
        <v>139</v>
      </c>
    </row>
    <row r="194" spans="1:21" x14ac:dyDescent="0.55000000000000004">
      <c r="A194" s="71">
        <v>572</v>
      </c>
      <c r="C194" s="73">
        <v>15</v>
      </c>
      <c r="F194" s="71">
        <v>313</v>
      </c>
      <c r="H194" s="72">
        <v>20.638000000000002</v>
      </c>
      <c r="I194" s="71" t="s">
        <v>139</v>
      </c>
      <c r="K194" s="71">
        <v>535</v>
      </c>
      <c r="M194" s="72">
        <v>19.53</v>
      </c>
      <c r="N194" s="71" t="s">
        <v>1</v>
      </c>
      <c r="R194" s="71">
        <v>313</v>
      </c>
      <c r="T194" s="72">
        <v>20.638000000000002</v>
      </c>
      <c r="U194" s="71" t="s">
        <v>139</v>
      </c>
    </row>
    <row r="195" spans="1:21" x14ac:dyDescent="0.55000000000000004">
      <c r="A195" s="71">
        <v>203</v>
      </c>
      <c r="C195" s="73">
        <v>15</v>
      </c>
      <c r="F195" s="71">
        <v>315</v>
      </c>
      <c r="H195" s="72">
        <v>15.25</v>
      </c>
      <c r="I195" s="71" t="s">
        <v>139</v>
      </c>
      <c r="K195" s="71">
        <v>550</v>
      </c>
      <c r="M195" s="72">
        <v>19.57</v>
      </c>
      <c r="N195" s="71" t="s">
        <v>1</v>
      </c>
      <c r="R195" s="71">
        <v>315</v>
      </c>
      <c r="T195" s="72">
        <v>15.25</v>
      </c>
      <c r="U195" s="71" t="s">
        <v>139</v>
      </c>
    </row>
    <row r="196" spans="1:21" x14ac:dyDescent="0.55000000000000004">
      <c r="A196" s="71">
        <v>479</v>
      </c>
      <c r="C196" s="73">
        <v>15</v>
      </c>
      <c r="F196" s="71">
        <v>315</v>
      </c>
      <c r="H196" s="72">
        <v>15.25</v>
      </c>
      <c r="I196" s="71" t="s">
        <v>139</v>
      </c>
      <c r="K196" s="71">
        <v>550</v>
      </c>
      <c r="M196" s="72">
        <v>19.57</v>
      </c>
      <c r="N196" s="71" t="s">
        <v>1</v>
      </c>
      <c r="R196" s="71">
        <v>315</v>
      </c>
      <c r="T196" s="72">
        <v>15.25</v>
      </c>
      <c r="U196" s="71" t="s">
        <v>139</v>
      </c>
    </row>
    <row r="197" spans="1:21" x14ac:dyDescent="0.55000000000000004">
      <c r="A197" s="71">
        <v>479</v>
      </c>
      <c r="C197" s="73">
        <v>15</v>
      </c>
      <c r="F197" s="71">
        <v>315</v>
      </c>
      <c r="H197" s="72">
        <v>15.25</v>
      </c>
      <c r="I197" s="71" t="s">
        <v>139</v>
      </c>
      <c r="K197" s="71">
        <v>777</v>
      </c>
      <c r="M197" s="72">
        <v>19.57</v>
      </c>
      <c r="N197" s="71" t="s">
        <v>1</v>
      </c>
      <c r="R197" s="71">
        <v>315</v>
      </c>
      <c r="T197" s="72">
        <v>15.25</v>
      </c>
      <c r="U197" s="71" t="s">
        <v>139</v>
      </c>
    </row>
    <row r="198" spans="1:21" x14ac:dyDescent="0.55000000000000004">
      <c r="A198" s="71">
        <v>479</v>
      </c>
      <c r="C198" s="73">
        <v>15</v>
      </c>
      <c r="F198" s="71">
        <v>315</v>
      </c>
      <c r="H198" s="72">
        <v>15.25</v>
      </c>
      <c r="I198" s="71" t="s">
        <v>139</v>
      </c>
      <c r="K198" s="71">
        <v>173</v>
      </c>
      <c r="M198" s="72">
        <v>19.649999999999999</v>
      </c>
      <c r="N198" s="71" t="s">
        <v>1</v>
      </c>
      <c r="R198" s="71">
        <v>315</v>
      </c>
      <c r="T198" s="72">
        <v>15.25</v>
      </c>
      <c r="U198" s="71" t="s">
        <v>139</v>
      </c>
    </row>
    <row r="199" spans="1:21" x14ac:dyDescent="0.55000000000000004">
      <c r="A199" s="71">
        <v>479</v>
      </c>
      <c r="C199" s="73">
        <v>15</v>
      </c>
      <c r="F199" s="71">
        <v>315</v>
      </c>
      <c r="H199" s="72">
        <v>15.71</v>
      </c>
      <c r="I199" s="71" t="s">
        <v>139</v>
      </c>
      <c r="K199" s="71">
        <v>766</v>
      </c>
      <c r="M199" s="72">
        <v>19.68</v>
      </c>
      <c r="N199" s="71" t="s">
        <v>1</v>
      </c>
      <c r="R199" s="71">
        <v>315</v>
      </c>
      <c r="T199" s="72">
        <v>15.71</v>
      </c>
      <c r="U199" s="71" t="s">
        <v>139</v>
      </c>
    </row>
    <row r="200" spans="1:21" x14ac:dyDescent="0.55000000000000004">
      <c r="A200" s="71">
        <v>234</v>
      </c>
      <c r="C200" s="73">
        <v>15</v>
      </c>
      <c r="F200" s="71">
        <v>315</v>
      </c>
      <c r="H200" s="72">
        <v>15.71</v>
      </c>
      <c r="I200" s="71" t="s">
        <v>139</v>
      </c>
      <c r="K200" s="71">
        <v>766</v>
      </c>
      <c r="M200" s="72">
        <v>19.68</v>
      </c>
      <c r="N200" s="71" t="s">
        <v>1</v>
      </c>
      <c r="R200" s="71">
        <v>315</v>
      </c>
      <c r="T200" s="72">
        <v>15.71</v>
      </c>
      <c r="U200" s="71" t="s">
        <v>139</v>
      </c>
    </row>
    <row r="201" spans="1:21" x14ac:dyDescent="0.55000000000000004">
      <c r="A201" s="71">
        <v>234</v>
      </c>
      <c r="C201" s="73">
        <v>15</v>
      </c>
      <c r="F201" s="71">
        <v>315</v>
      </c>
      <c r="H201" s="72">
        <v>15.71</v>
      </c>
      <c r="I201" s="71" t="s">
        <v>139</v>
      </c>
      <c r="K201" s="71">
        <v>555</v>
      </c>
      <c r="M201" s="72">
        <v>19.68</v>
      </c>
      <c r="N201" s="71" t="s">
        <v>1</v>
      </c>
      <c r="R201" s="71">
        <v>315</v>
      </c>
      <c r="T201" s="72">
        <v>15.71</v>
      </c>
      <c r="U201" s="71" t="s">
        <v>139</v>
      </c>
    </row>
    <row r="202" spans="1:21" x14ac:dyDescent="0.55000000000000004">
      <c r="A202" s="71">
        <v>234</v>
      </c>
      <c r="C202" s="73">
        <v>15</v>
      </c>
      <c r="D202" s="73">
        <v>23.77</v>
      </c>
      <c r="F202" s="71">
        <v>315</v>
      </c>
      <c r="H202" s="72">
        <v>15.71</v>
      </c>
      <c r="I202" s="71" t="s">
        <v>139</v>
      </c>
      <c r="K202" s="71">
        <v>962</v>
      </c>
      <c r="M202" s="72">
        <v>19.7</v>
      </c>
      <c r="N202" s="71" t="s">
        <v>1</v>
      </c>
      <c r="R202" s="71">
        <v>315</v>
      </c>
      <c r="T202" s="72">
        <v>15.71</v>
      </c>
      <c r="U202" s="71" t="s">
        <v>139</v>
      </c>
    </row>
    <row r="203" spans="1:21" x14ac:dyDescent="0.55000000000000004">
      <c r="A203" s="71">
        <v>234</v>
      </c>
      <c r="C203" s="73">
        <v>15</v>
      </c>
      <c r="D203" s="73">
        <v>20</v>
      </c>
      <c r="F203" s="71">
        <v>315</v>
      </c>
      <c r="H203" s="72">
        <v>16.18</v>
      </c>
      <c r="I203" s="71" t="s">
        <v>139</v>
      </c>
      <c r="K203" s="71">
        <v>962</v>
      </c>
      <c r="M203" s="72">
        <v>19.7</v>
      </c>
      <c r="N203" s="71" t="s">
        <v>1</v>
      </c>
      <c r="R203" s="71">
        <v>315</v>
      </c>
      <c r="T203" s="72">
        <v>16.18</v>
      </c>
      <c r="U203" s="71" t="s">
        <v>139</v>
      </c>
    </row>
    <row r="204" spans="1:21" x14ac:dyDescent="0.55000000000000004">
      <c r="A204" s="71">
        <v>560</v>
      </c>
      <c r="C204" s="73">
        <v>15</v>
      </c>
      <c r="D204" s="73">
        <v>19.82</v>
      </c>
      <c r="F204" s="71">
        <v>315</v>
      </c>
      <c r="H204" s="72">
        <v>16.18</v>
      </c>
      <c r="I204" s="71" t="s">
        <v>139</v>
      </c>
      <c r="K204" s="71">
        <v>962</v>
      </c>
      <c r="M204" s="72">
        <v>19.7</v>
      </c>
      <c r="N204" s="71" t="s">
        <v>1</v>
      </c>
      <c r="R204" s="71">
        <v>315</v>
      </c>
      <c r="T204" s="72">
        <v>16.18</v>
      </c>
      <c r="U204" s="71" t="s">
        <v>139</v>
      </c>
    </row>
    <row r="205" spans="1:21" x14ac:dyDescent="0.55000000000000004">
      <c r="A205" s="71">
        <v>277</v>
      </c>
      <c r="C205" s="73">
        <v>15</v>
      </c>
      <c r="F205" s="71">
        <v>315</v>
      </c>
      <c r="H205" s="72">
        <v>17.68</v>
      </c>
      <c r="I205" s="71" t="s">
        <v>139</v>
      </c>
      <c r="K205" s="71">
        <v>756</v>
      </c>
      <c r="M205" s="72">
        <v>19.7</v>
      </c>
      <c r="N205" s="71" t="s">
        <v>1</v>
      </c>
      <c r="R205" s="71">
        <v>315</v>
      </c>
      <c r="T205" s="72">
        <v>17.68</v>
      </c>
      <c r="U205" s="71" t="s">
        <v>139</v>
      </c>
    </row>
    <row r="206" spans="1:21" x14ac:dyDescent="0.55000000000000004">
      <c r="A206" s="71">
        <v>277</v>
      </c>
      <c r="C206" s="73">
        <v>15</v>
      </c>
      <c r="F206" s="71">
        <v>315</v>
      </c>
      <c r="H206" s="72">
        <v>17.68</v>
      </c>
      <c r="I206" s="71" t="s">
        <v>139</v>
      </c>
      <c r="K206" s="71">
        <v>550</v>
      </c>
      <c r="M206" s="72">
        <v>19.72</v>
      </c>
      <c r="N206" s="71" t="s">
        <v>1</v>
      </c>
      <c r="R206" s="71">
        <v>315</v>
      </c>
      <c r="T206" s="72">
        <v>17.68</v>
      </c>
      <c r="U206" s="71" t="s">
        <v>139</v>
      </c>
    </row>
    <row r="207" spans="1:21" x14ac:dyDescent="0.55000000000000004">
      <c r="A207" s="71">
        <v>385</v>
      </c>
      <c r="C207" s="74">
        <v>15</v>
      </c>
      <c r="D207" s="74"/>
      <c r="F207" s="71">
        <v>315</v>
      </c>
      <c r="H207" s="72">
        <v>18.21</v>
      </c>
      <c r="I207" s="71" t="s">
        <v>139</v>
      </c>
      <c r="K207" s="71">
        <v>910</v>
      </c>
      <c r="M207" s="72">
        <v>19.759999999999994</v>
      </c>
      <c r="N207" s="71" t="s">
        <v>1</v>
      </c>
      <c r="R207" s="71">
        <v>315</v>
      </c>
      <c r="T207" s="72">
        <v>18.21</v>
      </c>
      <c r="U207" s="71" t="s">
        <v>139</v>
      </c>
    </row>
    <row r="208" spans="1:21" x14ac:dyDescent="0.55000000000000004">
      <c r="A208" s="71">
        <v>385</v>
      </c>
      <c r="C208" s="74">
        <v>15</v>
      </c>
      <c r="D208" s="74"/>
      <c r="F208" s="71">
        <v>315</v>
      </c>
      <c r="H208" s="72">
        <v>19.899999999999999</v>
      </c>
      <c r="I208" s="71" t="s">
        <v>139</v>
      </c>
      <c r="K208" s="71">
        <v>606</v>
      </c>
      <c r="M208" s="72">
        <v>19.809999999999999</v>
      </c>
      <c r="N208" s="71" t="s">
        <v>1</v>
      </c>
      <c r="R208" s="71">
        <v>315</v>
      </c>
      <c r="T208" s="72">
        <v>19.899999999999999</v>
      </c>
      <c r="U208" s="71" t="s">
        <v>139</v>
      </c>
    </row>
    <row r="209" spans="1:21" x14ac:dyDescent="0.55000000000000004">
      <c r="A209" s="71">
        <v>385</v>
      </c>
      <c r="C209" s="74">
        <v>15</v>
      </c>
      <c r="D209" s="74"/>
      <c r="F209" s="71">
        <v>315</v>
      </c>
      <c r="H209" s="72">
        <v>21.11</v>
      </c>
      <c r="I209" s="71" t="s">
        <v>139</v>
      </c>
      <c r="K209" s="71">
        <v>268</v>
      </c>
      <c r="M209" s="72">
        <v>19.82</v>
      </c>
      <c r="N209" s="71" t="s">
        <v>1</v>
      </c>
      <c r="R209" s="71">
        <v>315</v>
      </c>
      <c r="T209" s="72">
        <v>21.11</v>
      </c>
      <c r="U209" s="71" t="s">
        <v>139</v>
      </c>
    </row>
    <row r="210" spans="1:21" x14ac:dyDescent="0.55000000000000004">
      <c r="A210" s="71">
        <v>658</v>
      </c>
      <c r="C210" s="73">
        <v>15</v>
      </c>
      <c r="F210" s="71">
        <v>315</v>
      </c>
      <c r="H210" s="72">
        <v>22.4</v>
      </c>
      <c r="I210" s="71" t="s">
        <v>139</v>
      </c>
      <c r="K210" s="71">
        <v>555</v>
      </c>
      <c r="M210" s="72">
        <v>19.850000000000001</v>
      </c>
      <c r="N210" s="71" t="s">
        <v>1</v>
      </c>
      <c r="R210" s="71">
        <v>315</v>
      </c>
      <c r="T210" s="72">
        <v>22.4</v>
      </c>
      <c r="U210" s="71" t="s">
        <v>139</v>
      </c>
    </row>
    <row r="211" spans="1:21" x14ac:dyDescent="0.55000000000000004">
      <c r="A211" s="71">
        <v>658</v>
      </c>
      <c r="C211" s="73">
        <v>15</v>
      </c>
      <c r="F211" s="71">
        <v>315</v>
      </c>
      <c r="H211" s="72">
        <v>23.07</v>
      </c>
      <c r="I211" s="71" t="s">
        <v>139</v>
      </c>
      <c r="K211" s="71">
        <v>926</v>
      </c>
      <c r="M211" s="72">
        <v>19.86</v>
      </c>
      <c r="N211" s="71" t="s">
        <v>1</v>
      </c>
      <c r="R211" s="71">
        <v>315</v>
      </c>
      <c r="T211" s="72">
        <v>23.07</v>
      </c>
      <c r="U211" s="71" t="s">
        <v>139</v>
      </c>
    </row>
    <row r="212" spans="1:21" x14ac:dyDescent="0.55000000000000004">
      <c r="A212" s="71">
        <v>658</v>
      </c>
      <c r="C212" s="73">
        <v>15</v>
      </c>
      <c r="F212" s="71">
        <v>315</v>
      </c>
      <c r="H212" s="72">
        <v>23.07</v>
      </c>
      <c r="I212" s="71" t="s">
        <v>139</v>
      </c>
      <c r="K212" s="71">
        <v>959</v>
      </c>
      <c r="M212" s="72">
        <v>19.87</v>
      </c>
      <c r="N212" s="71" t="s">
        <v>1</v>
      </c>
      <c r="R212" s="71">
        <v>315</v>
      </c>
      <c r="T212" s="72">
        <v>23.07</v>
      </c>
      <c r="U212" s="71" t="s">
        <v>139</v>
      </c>
    </row>
    <row r="213" spans="1:21" x14ac:dyDescent="0.55000000000000004">
      <c r="A213" s="71">
        <v>658</v>
      </c>
      <c r="C213" s="73">
        <v>15</v>
      </c>
      <c r="F213" s="71">
        <v>315</v>
      </c>
      <c r="H213" s="72">
        <v>23.07</v>
      </c>
      <c r="I213" s="71" t="s">
        <v>139</v>
      </c>
      <c r="K213" s="71">
        <v>506</v>
      </c>
      <c r="M213" s="72">
        <v>19.899999999999999</v>
      </c>
      <c r="N213" s="71" t="s">
        <v>1</v>
      </c>
      <c r="R213" s="71">
        <v>315</v>
      </c>
      <c r="T213" s="72">
        <v>23.07</v>
      </c>
      <c r="U213" s="71" t="s">
        <v>139</v>
      </c>
    </row>
    <row r="214" spans="1:21" x14ac:dyDescent="0.55000000000000004">
      <c r="A214" s="71">
        <v>658</v>
      </c>
      <c r="C214" s="73">
        <v>15</v>
      </c>
      <c r="F214" s="71">
        <v>315</v>
      </c>
      <c r="H214" s="72">
        <v>23.07</v>
      </c>
      <c r="I214" s="71" t="s">
        <v>139</v>
      </c>
      <c r="K214" s="71">
        <v>164</v>
      </c>
      <c r="M214" s="72">
        <v>19.920000000000002</v>
      </c>
      <c r="N214" s="71" t="s">
        <v>1</v>
      </c>
      <c r="R214" s="71">
        <v>315</v>
      </c>
      <c r="T214" s="72">
        <v>23.07</v>
      </c>
      <c r="U214" s="71" t="s">
        <v>139</v>
      </c>
    </row>
    <row r="215" spans="1:21" x14ac:dyDescent="0.55000000000000004">
      <c r="A215" s="71">
        <v>318</v>
      </c>
      <c r="C215" s="73">
        <v>15</v>
      </c>
      <c r="F215" s="71">
        <v>315</v>
      </c>
      <c r="H215" s="72">
        <v>23.76</v>
      </c>
      <c r="I215" s="71" t="s">
        <v>139</v>
      </c>
      <c r="K215" s="71">
        <v>351</v>
      </c>
      <c r="M215" s="72">
        <v>19.920000000000002</v>
      </c>
      <c r="N215" s="71" t="s">
        <v>1</v>
      </c>
      <c r="R215" s="71">
        <v>315</v>
      </c>
      <c r="T215" s="72">
        <v>23.76</v>
      </c>
      <c r="U215" s="71" t="s">
        <v>139</v>
      </c>
    </row>
    <row r="216" spans="1:21" x14ac:dyDescent="0.55000000000000004">
      <c r="A216" s="71">
        <v>318</v>
      </c>
      <c r="C216" s="73">
        <v>15</v>
      </c>
      <c r="F216" s="71">
        <v>315</v>
      </c>
      <c r="H216" s="72">
        <v>23.76</v>
      </c>
      <c r="I216" s="71" t="s">
        <v>139</v>
      </c>
      <c r="K216" s="71">
        <v>814</v>
      </c>
      <c r="M216" s="72">
        <v>20</v>
      </c>
      <c r="N216" s="71" t="s">
        <v>1</v>
      </c>
      <c r="R216" s="71">
        <v>315</v>
      </c>
      <c r="T216" s="72">
        <v>23.76</v>
      </c>
      <c r="U216" s="71" t="s">
        <v>139</v>
      </c>
    </row>
    <row r="217" spans="1:21" x14ac:dyDescent="0.55000000000000004">
      <c r="A217" s="71">
        <v>318</v>
      </c>
      <c r="C217" s="73">
        <v>15</v>
      </c>
      <c r="F217" s="71">
        <v>315</v>
      </c>
      <c r="H217" s="72">
        <v>23.76</v>
      </c>
      <c r="I217" s="71" t="s">
        <v>139</v>
      </c>
      <c r="K217" s="71">
        <v>967</v>
      </c>
      <c r="M217" s="72">
        <v>20</v>
      </c>
      <c r="N217" s="71" t="s">
        <v>1</v>
      </c>
      <c r="R217" s="71">
        <v>315</v>
      </c>
      <c r="T217" s="72">
        <v>23.76</v>
      </c>
      <c r="U217" s="71" t="s">
        <v>139</v>
      </c>
    </row>
    <row r="218" spans="1:21" x14ac:dyDescent="0.55000000000000004">
      <c r="A218" s="71">
        <v>500</v>
      </c>
      <c r="C218" s="75">
        <v>15</v>
      </c>
      <c r="D218" s="75"/>
      <c r="F218" s="71">
        <v>316</v>
      </c>
      <c r="H218" s="72">
        <v>16</v>
      </c>
      <c r="I218" s="71" t="s">
        <v>139</v>
      </c>
      <c r="K218" s="71">
        <v>951</v>
      </c>
      <c r="M218" s="72">
        <v>20</v>
      </c>
      <c r="N218" s="71" t="s">
        <v>1</v>
      </c>
      <c r="R218" s="71">
        <v>316</v>
      </c>
      <c r="T218" s="72">
        <v>16</v>
      </c>
      <c r="U218" s="71" t="s">
        <v>139</v>
      </c>
    </row>
    <row r="219" spans="1:21" x14ac:dyDescent="0.55000000000000004">
      <c r="A219" s="71">
        <v>852</v>
      </c>
      <c r="C219" s="73">
        <v>15</v>
      </c>
      <c r="F219" s="71">
        <v>316</v>
      </c>
      <c r="H219" s="72">
        <v>17</v>
      </c>
      <c r="I219" s="71" t="s">
        <v>139</v>
      </c>
      <c r="K219" s="71">
        <v>951</v>
      </c>
      <c r="M219" s="72">
        <v>20</v>
      </c>
      <c r="N219" s="71" t="s">
        <v>1</v>
      </c>
      <c r="R219" s="71">
        <v>316</v>
      </c>
      <c r="T219" s="72">
        <v>17</v>
      </c>
      <c r="U219" s="71" t="s">
        <v>139</v>
      </c>
    </row>
    <row r="220" spans="1:21" x14ac:dyDescent="0.55000000000000004">
      <c r="A220" s="71">
        <v>852</v>
      </c>
      <c r="C220" s="73">
        <v>15</v>
      </c>
      <c r="F220" s="71">
        <v>316</v>
      </c>
      <c r="H220" s="72">
        <v>17</v>
      </c>
      <c r="I220" s="71" t="s">
        <v>139</v>
      </c>
      <c r="K220" s="71">
        <v>205</v>
      </c>
      <c r="M220" s="72">
        <v>20</v>
      </c>
      <c r="N220" s="71" t="s">
        <v>1</v>
      </c>
      <c r="R220" s="71">
        <v>316</v>
      </c>
      <c r="T220" s="72">
        <v>17</v>
      </c>
      <c r="U220" s="71" t="s">
        <v>139</v>
      </c>
    </row>
    <row r="221" spans="1:21" x14ac:dyDescent="0.55000000000000004">
      <c r="A221" s="71">
        <v>852</v>
      </c>
      <c r="C221" s="73">
        <v>15</v>
      </c>
      <c r="F221" s="71">
        <v>316</v>
      </c>
      <c r="H221" s="72">
        <v>17</v>
      </c>
      <c r="I221" s="71" t="s">
        <v>139</v>
      </c>
      <c r="K221" s="71">
        <v>205</v>
      </c>
      <c r="M221" s="72">
        <v>20</v>
      </c>
      <c r="N221" s="71" t="s">
        <v>1</v>
      </c>
      <c r="R221" s="71">
        <v>316</v>
      </c>
      <c r="T221" s="72">
        <v>17</v>
      </c>
      <c r="U221" s="71" t="s">
        <v>139</v>
      </c>
    </row>
    <row r="222" spans="1:21" x14ac:dyDescent="0.55000000000000004">
      <c r="A222" s="71">
        <v>852</v>
      </c>
      <c r="C222" s="73">
        <v>15</v>
      </c>
      <c r="F222" s="71">
        <v>316</v>
      </c>
      <c r="H222" s="72">
        <v>17</v>
      </c>
      <c r="I222" s="71" t="s">
        <v>139</v>
      </c>
      <c r="K222" s="71">
        <v>205</v>
      </c>
      <c r="M222" s="72">
        <v>20</v>
      </c>
      <c r="N222" s="71" t="s">
        <v>1</v>
      </c>
      <c r="R222" s="71">
        <v>316</v>
      </c>
      <c r="T222" s="72">
        <v>17</v>
      </c>
      <c r="U222" s="71" t="s">
        <v>139</v>
      </c>
    </row>
    <row r="223" spans="1:21" x14ac:dyDescent="0.55000000000000004">
      <c r="A223" s="71">
        <v>852</v>
      </c>
      <c r="C223" s="73">
        <v>15</v>
      </c>
      <c r="F223" s="71">
        <v>316</v>
      </c>
      <c r="H223" s="72">
        <v>17</v>
      </c>
      <c r="I223" s="71" t="s">
        <v>139</v>
      </c>
      <c r="K223" s="71">
        <v>205</v>
      </c>
      <c r="M223" s="72">
        <v>20</v>
      </c>
      <c r="N223" s="71" t="s">
        <v>1</v>
      </c>
      <c r="R223" s="71">
        <v>316</v>
      </c>
      <c r="T223" s="72">
        <v>17</v>
      </c>
      <c r="U223" s="71" t="s">
        <v>139</v>
      </c>
    </row>
    <row r="224" spans="1:21" x14ac:dyDescent="0.55000000000000004">
      <c r="A224" s="71">
        <v>852</v>
      </c>
      <c r="C224" s="73">
        <v>15</v>
      </c>
      <c r="F224" s="71">
        <v>316</v>
      </c>
      <c r="H224" s="72">
        <v>17.850000000000001</v>
      </c>
      <c r="I224" s="71" t="s">
        <v>139</v>
      </c>
      <c r="K224" s="71">
        <v>268</v>
      </c>
      <c r="M224" s="72">
        <v>20</v>
      </c>
      <c r="N224" s="71" t="s">
        <v>1</v>
      </c>
      <c r="R224" s="71">
        <v>316</v>
      </c>
      <c r="T224" s="72">
        <v>17.850000000000001</v>
      </c>
      <c r="U224" s="71" t="s">
        <v>139</v>
      </c>
    </row>
    <row r="225" spans="1:21" x14ac:dyDescent="0.55000000000000004">
      <c r="A225" s="71">
        <v>852</v>
      </c>
      <c r="C225" s="73">
        <v>15</v>
      </c>
      <c r="F225" s="71">
        <v>318</v>
      </c>
      <c r="H225" s="72">
        <v>15</v>
      </c>
      <c r="I225" s="71" t="s">
        <v>139</v>
      </c>
      <c r="K225" s="71">
        <v>479</v>
      </c>
      <c r="M225" s="72">
        <v>20</v>
      </c>
      <c r="N225" s="71" t="s">
        <v>1</v>
      </c>
      <c r="R225" s="71">
        <v>318</v>
      </c>
      <c r="T225" s="72">
        <v>15</v>
      </c>
      <c r="U225" s="71" t="s">
        <v>139</v>
      </c>
    </row>
    <row r="226" spans="1:21" x14ac:dyDescent="0.55000000000000004">
      <c r="A226" s="71">
        <v>852</v>
      </c>
      <c r="C226" s="73">
        <v>15</v>
      </c>
      <c r="F226" s="71">
        <v>318</v>
      </c>
      <c r="H226" s="72">
        <v>15</v>
      </c>
      <c r="I226" s="71" t="s">
        <v>139</v>
      </c>
      <c r="K226" s="71">
        <v>486</v>
      </c>
      <c r="M226" s="72">
        <v>20</v>
      </c>
      <c r="N226" s="71" t="s">
        <v>1</v>
      </c>
      <c r="R226" s="71">
        <v>318</v>
      </c>
      <c r="T226" s="72">
        <v>15</v>
      </c>
      <c r="U226" s="71" t="s">
        <v>139</v>
      </c>
    </row>
    <row r="227" spans="1:21" x14ac:dyDescent="0.55000000000000004">
      <c r="A227" s="71">
        <v>852</v>
      </c>
      <c r="C227" s="73">
        <v>15</v>
      </c>
      <c r="F227" s="71">
        <v>318</v>
      </c>
      <c r="H227" s="72">
        <v>15</v>
      </c>
      <c r="I227" s="71" t="s">
        <v>139</v>
      </c>
      <c r="K227" s="71">
        <v>313</v>
      </c>
      <c r="M227" s="72">
        <v>20</v>
      </c>
      <c r="N227" s="71" t="s">
        <v>1</v>
      </c>
      <c r="R227" s="71">
        <v>318</v>
      </c>
      <c r="T227" s="72">
        <v>15</v>
      </c>
      <c r="U227" s="71" t="s">
        <v>139</v>
      </c>
    </row>
    <row r="228" spans="1:21" x14ac:dyDescent="0.55000000000000004">
      <c r="A228" s="71">
        <v>143</v>
      </c>
      <c r="C228" s="73">
        <v>15</v>
      </c>
      <c r="F228" s="71">
        <v>318</v>
      </c>
      <c r="H228" s="72">
        <v>15.47</v>
      </c>
      <c r="I228" s="71" t="s">
        <v>139</v>
      </c>
      <c r="K228" s="71">
        <v>318</v>
      </c>
      <c r="M228" s="72">
        <v>20</v>
      </c>
      <c r="N228" s="71" t="s">
        <v>1</v>
      </c>
      <c r="R228" s="71">
        <v>318</v>
      </c>
      <c r="T228" s="72">
        <v>15.47</v>
      </c>
      <c r="U228" s="71" t="s">
        <v>139</v>
      </c>
    </row>
    <row r="229" spans="1:21" x14ac:dyDescent="0.55000000000000004">
      <c r="A229" s="71">
        <v>143</v>
      </c>
      <c r="C229" s="73">
        <v>15</v>
      </c>
      <c r="F229" s="71">
        <v>318</v>
      </c>
      <c r="H229" s="72">
        <v>15.72</v>
      </c>
      <c r="I229" s="71" t="s">
        <v>139</v>
      </c>
      <c r="K229" s="71">
        <v>500</v>
      </c>
      <c r="M229" s="72">
        <v>20</v>
      </c>
      <c r="N229" s="71" t="s">
        <v>1</v>
      </c>
      <c r="R229" s="71">
        <v>318</v>
      </c>
      <c r="T229" s="72">
        <v>15.72</v>
      </c>
      <c r="U229" s="71" t="s">
        <v>139</v>
      </c>
    </row>
    <row r="230" spans="1:21" x14ac:dyDescent="0.55000000000000004">
      <c r="A230" s="71">
        <v>143</v>
      </c>
      <c r="C230" s="73">
        <v>15</v>
      </c>
      <c r="F230" s="71">
        <v>318</v>
      </c>
      <c r="H230" s="72">
        <v>16.47</v>
      </c>
      <c r="I230" s="71" t="s">
        <v>139</v>
      </c>
      <c r="K230" s="71">
        <v>766</v>
      </c>
      <c r="M230" s="72">
        <v>20.04</v>
      </c>
      <c r="N230" s="71" t="s">
        <v>1</v>
      </c>
      <c r="R230" s="71">
        <v>318</v>
      </c>
      <c r="T230" s="72">
        <v>16.47</v>
      </c>
      <c r="U230" s="71" t="s">
        <v>139</v>
      </c>
    </row>
    <row r="231" spans="1:21" x14ac:dyDescent="0.55000000000000004">
      <c r="A231" s="71">
        <v>728</v>
      </c>
      <c r="C231" s="74">
        <v>15.05</v>
      </c>
      <c r="D231" s="74"/>
      <c r="F231" s="71">
        <v>318</v>
      </c>
      <c r="H231" s="72">
        <v>16.47</v>
      </c>
      <c r="I231" s="71" t="s">
        <v>139</v>
      </c>
      <c r="K231" s="71">
        <v>510</v>
      </c>
      <c r="M231" s="72">
        <v>20.100000000000001</v>
      </c>
      <c r="N231" s="71" t="s">
        <v>1</v>
      </c>
      <c r="R231" s="71">
        <v>318</v>
      </c>
      <c r="T231" s="72">
        <v>16.47</v>
      </c>
      <c r="U231" s="71" t="s">
        <v>139</v>
      </c>
    </row>
    <row r="232" spans="1:21" x14ac:dyDescent="0.55000000000000004">
      <c r="A232" s="71">
        <v>728</v>
      </c>
      <c r="C232" s="74">
        <v>15.06</v>
      </c>
      <c r="D232" s="74"/>
      <c r="F232" s="71">
        <v>318</v>
      </c>
      <c r="H232" s="72">
        <v>16.97</v>
      </c>
      <c r="I232" s="71" t="s">
        <v>139</v>
      </c>
      <c r="K232" s="71">
        <v>510</v>
      </c>
      <c r="M232" s="72">
        <v>20.100000000000001</v>
      </c>
      <c r="N232" s="71" t="s">
        <v>1</v>
      </c>
      <c r="R232" s="71">
        <v>318</v>
      </c>
      <c r="T232" s="72">
        <v>16.97</v>
      </c>
      <c r="U232" s="71" t="s">
        <v>139</v>
      </c>
    </row>
    <row r="233" spans="1:21" x14ac:dyDescent="0.55000000000000004">
      <c r="A233" s="71">
        <v>500</v>
      </c>
      <c r="C233" s="75">
        <v>15.09</v>
      </c>
      <c r="D233" s="75"/>
      <c r="F233" s="71">
        <v>318</v>
      </c>
      <c r="H233" s="72">
        <v>18.97</v>
      </c>
      <c r="I233" s="71" t="s">
        <v>139</v>
      </c>
      <c r="K233" s="71">
        <v>510</v>
      </c>
      <c r="M233" s="72">
        <v>20.100000000000001</v>
      </c>
      <c r="N233" s="71" t="s">
        <v>1</v>
      </c>
      <c r="R233" s="71">
        <v>318</v>
      </c>
      <c r="T233" s="72">
        <v>18.97</v>
      </c>
      <c r="U233" s="71" t="s">
        <v>139</v>
      </c>
    </row>
    <row r="234" spans="1:21" x14ac:dyDescent="0.55000000000000004">
      <c r="A234" s="71">
        <v>852</v>
      </c>
      <c r="C234" s="73">
        <v>15.1</v>
      </c>
      <c r="F234" s="71">
        <v>318</v>
      </c>
      <c r="H234" s="72">
        <v>19.18</v>
      </c>
      <c r="I234" s="71" t="s">
        <v>139</v>
      </c>
      <c r="K234" s="71">
        <v>178</v>
      </c>
      <c r="M234" s="72">
        <v>20.149999999999999</v>
      </c>
      <c r="N234" s="71" t="s">
        <v>1</v>
      </c>
      <c r="R234" s="71">
        <v>318</v>
      </c>
      <c r="T234" s="72">
        <v>19.18</v>
      </c>
      <c r="U234" s="71" t="s">
        <v>139</v>
      </c>
    </row>
    <row r="235" spans="1:21" x14ac:dyDescent="0.55000000000000004">
      <c r="A235" s="71">
        <v>852</v>
      </c>
      <c r="C235" s="73">
        <v>15.1</v>
      </c>
      <c r="F235" s="71">
        <v>336</v>
      </c>
      <c r="H235" s="72">
        <v>17.690000000000001</v>
      </c>
      <c r="I235" s="71" t="s">
        <v>139</v>
      </c>
      <c r="K235" s="71">
        <v>604</v>
      </c>
      <c r="M235" s="72">
        <v>20.23</v>
      </c>
      <c r="N235" s="71" t="s">
        <v>1</v>
      </c>
      <c r="R235" s="71">
        <v>336</v>
      </c>
      <c r="T235" s="72">
        <v>17.690000000000001</v>
      </c>
      <c r="U235" s="71" t="s">
        <v>139</v>
      </c>
    </row>
    <row r="236" spans="1:21" x14ac:dyDescent="0.55000000000000004">
      <c r="A236" s="71">
        <v>852</v>
      </c>
      <c r="C236" s="73">
        <v>15.1</v>
      </c>
      <c r="F236" s="71">
        <v>336</v>
      </c>
      <c r="H236" s="72">
        <v>18.82</v>
      </c>
      <c r="I236" s="71" t="s">
        <v>139</v>
      </c>
      <c r="K236" s="71">
        <v>604</v>
      </c>
      <c r="M236" s="72">
        <v>20.23</v>
      </c>
      <c r="N236" s="71" t="s">
        <v>1</v>
      </c>
      <c r="R236" s="71">
        <v>336</v>
      </c>
      <c r="T236" s="72">
        <v>18.82</v>
      </c>
      <c r="U236" s="71" t="s">
        <v>139</v>
      </c>
    </row>
    <row r="237" spans="1:21" x14ac:dyDescent="0.55000000000000004">
      <c r="A237" s="71">
        <v>203</v>
      </c>
      <c r="C237" s="73">
        <v>15.15</v>
      </c>
      <c r="D237" s="73">
        <v>17.5</v>
      </c>
      <c r="F237" s="71">
        <v>336</v>
      </c>
      <c r="H237" s="72">
        <v>18.82</v>
      </c>
      <c r="I237" s="71" t="s">
        <v>139</v>
      </c>
      <c r="K237" s="71">
        <v>953</v>
      </c>
      <c r="M237" s="72">
        <v>20.239999999999998</v>
      </c>
      <c r="N237" s="71" t="s">
        <v>1</v>
      </c>
      <c r="R237" s="71">
        <v>336</v>
      </c>
      <c r="T237" s="72">
        <v>18.82</v>
      </c>
      <c r="U237" s="71" t="s">
        <v>139</v>
      </c>
    </row>
    <row r="238" spans="1:21" x14ac:dyDescent="0.55000000000000004">
      <c r="A238" s="71">
        <v>203</v>
      </c>
      <c r="C238" s="73">
        <v>15.15</v>
      </c>
      <c r="D238" s="73">
        <v>18</v>
      </c>
      <c r="F238" s="71">
        <v>336</v>
      </c>
      <c r="H238" s="72">
        <v>19.5</v>
      </c>
      <c r="I238" s="71" t="s">
        <v>139</v>
      </c>
      <c r="K238" s="71">
        <v>910</v>
      </c>
      <c r="M238" s="72">
        <v>20.243599594784786</v>
      </c>
      <c r="N238" s="71" t="s">
        <v>1</v>
      </c>
      <c r="R238" s="71">
        <v>336</v>
      </c>
      <c r="T238" s="72">
        <v>19.5</v>
      </c>
      <c r="U238" s="71" t="s">
        <v>139</v>
      </c>
    </row>
    <row r="239" spans="1:21" x14ac:dyDescent="0.55000000000000004">
      <c r="A239" s="71">
        <v>203</v>
      </c>
      <c r="C239" s="73">
        <v>15.15</v>
      </c>
      <c r="D239" s="73">
        <v>18.5</v>
      </c>
      <c r="F239" s="71">
        <v>336</v>
      </c>
      <c r="H239" s="72">
        <v>20.010000000000002</v>
      </c>
      <c r="I239" s="71" t="s">
        <v>139</v>
      </c>
      <c r="K239" s="71">
        <v>883</v>
      </c>
      <c r="M239" s="72">
        <v>20.25</v>
      </c>
      <c r="N239" s="71" t="s">
        <v>1</v>
      </c>
      <c r="R239" s="71">
        <v>336</v>
      </c>
      <c r="T239" s="72">
        <v>20.010000000000002</v>
      </c>
      <c r="U239" s="71" t="s">
        <v>139</v>
      </c>
    </row>
    <row r="240" spans="1:21" x14ac:dyDescent="0.55000000000000004">
      <c r="A240" s="71">
        <v>203</v>
      </c>
      <c r="C240" s="73">
        <v>15.15</v>
      </c>
      <c r="D240" s="73">
        <v>18</v>
      </c>
      <c r="F240" s="71">
        <v>346</v>
      </c>
      <c r="H240" s="72">
        <v>15.5</v>
      </c>
      <c r="I240" s="71" t="s">
        <v>139</v>
      </c>
      <c r="K240" s="71">
        <v>142</v>
      </c>
      <c r="M240" s="72">
        <v>20.28</v>
      </c>
      <c r="N240" s="71" t="s">
        <v>1</v>
      </c>
      <c r="R240" s="71">
        <v>346</v>
      </c>
      <c r="T240" s="72">
        <v>15.5</v>
      </c>
      <c r="U240" s="71" t="s">
        <v>139</v>
      </c>
    </row>
    <row r="241" spans="1:21" x14ac:dyDescent="0.55000000000000004">
      <c r="A241" s="71">
        <v>203</v>
      </c>
      <c r="C241" s="73">
        <v>15.15</v>
      </c>
      <c r="D241" s="73">
        <v>16</v>
      </c>
      <c r="F241" s="71">
        <v>346</v>
      </c>
      <c r="H241" s="72">
        <v>16</v>
      </c>
      <c r="I241" s="71" t="s">
        <v>139</v>
      </c>
      <c r="K241" s="71">
        <v>164</v>
      </c>
      <c r="M241" s="72">
        <v>20.32</v>
      </c>
      <c r="N241" s="71" t="s">
        <v>1</v>
      </c>
      <c r="R241" s="71">
        <v>346</v>
      </c>
      <c r="T241" s="72">
        <v>16</v>
      </c>
      <c r="U241" s="71" t="s">
        <v>139</v>
      </c>
    </row>
    <row r="242" spans="1:21" x14ac:dyDescent="0.55000000000000004">
      <c r="A242" s="71">
        <v>203</v>
      </c>
      <c r="C242" s="73">
        <v>15.15</v>
      </c>
      <c r="D242" s="73">
        <v>17.5</v>
      </c>
      <c r="F242" s="71">
        <v>351</v>
      </c>
      <c r="H242" s="72">
        <v>14.68</v>
      </c>
      <c r="I242" s="71" t="s">
        <v>139</v>
      </c>
      <c r="K242" s="71">
        <v>690</v>
      </c>
      <c r="M242" s="72">
        <v>20.32</v>
      </c>
      <c r="N242" s="71" t="s">
        <v>1</v>
      </c>
      <c r="R242" s="71">
        <v>351</v>
      </c>
      <c r="T242" s="72">
        <v>14.68</v>
      </c>
      <c r="U242" s="71" t="s">
        <v>139</v>
      </c>
    </row>
    <row r="243" spans="1:21" x14ac:dyDescent="0.55000000000000004">
      <c r="A243" s="71">
        <v>203</v>
      </c>
      <c r="C243" s="73">
        <v>15.15</v>
      </c>
      <c r="D243" s="73">
        <v>25</v>
      </c>
      <c r="F243" s="71">
        <v>351</v>
      </c>
      <c r="H243" s="72">
        <v>14.68</v>
      </c>
      <c r="I243" s="71" t="s">
        <v>139</v>
      </c>
      <c r="K243" s="71">
        <v>351</v>
      </c>
      <c r="M243" s="72">
        <v>20.32</v>
      </c>
      <c r="N243" s="71" t="s">
        <v>1</v>
      </c>
      <c r="R243" s="71">
        <v>351</v>
      </c>
      <c r="T243" s="72">
        <v>14.68</v>
      </c>
      <c r="U243" s="71" t="s">
        <v>139</v>
      </c>
    </row>
    <row r="244" spans="1:21" x14ac:dyDescent="0.55000000000000004">
      <c r="A244" s="71">
        <v>203</v>
      </c>
      <c r="C244" s="73">
        <v>15.15</v>
      </c>
      <c r="D244" s="73">
        <v>19</v>
      </c>
      <c r="F244" s="71">
        <v>351</v>
      </c>
      <c r="H244" s="72">
        <v>14.68</v>
      </c>
      <c r="I244" s="71" t="s">
        <v>139</v>
      </c>
      <c r="K244" s="71">
        <v>535</v>
      </c>
      <c r="M244" s="72">
        <v>20.32</v>
      </c>
      <c r="N244" s="71" t="s">
        <v>1</v>
      </c>
      <c r="R244" s="71">
        <v>351</v>
      </c>
      <c r="T244" s="72">
        <v>14.68</v>
      </c>
      <c r="U244" s="71" t="s">
        <v>139</v>
      </c>
    </row>
    <row r="245" spans="1:21" x14ac:dyDescent="0.55000000000000004">
      <c r="A245" s="71">
        <v>313</v>
      </c>
      <c r="C245" s="73">
        <v>15.19</v>
      </c>
      <c r="D245" s="73">
        <v>21</v>
      </c>
      <c r="F245" s="71">
        <v>351</v>
      </c>
      <c r="H245" s="72">
        <v>14.68</v>
      </c>
      <c r="I245" s="71" t="s">
        <v>139</v>
      </c>
      <c r="K245" s="71">
        <v>535</v>
      </c>
      <c r="M245" s="72">
        <v>20.32</v>
      </c>
      <c r="N245" s="71" t="s">
        <v>1</v>
      </c>
      <c r="R245" s="71">
        <v>351</v>
      </c>
      <c r="T245" s="72">
        <v>14.68</v>
      </c>
      <c r="U245" s="71" t="s">
        <v>139</v>
      </c>
    </row>
    <row r="246" spans="1:21" x14ac:dyDescent="0.55000000000000004">
      <c r="A246" s="71">
        <v>313</v>
      </c>
      <c r="C246" s="73">
        <v>15.19</v>
      </c>
      <c r="D246" s="73">
        <v>21.25</v>
      </c>
      <c r="F246" s="71">
        <v>351</v>
      </c>
      <c r="H246" s="72">
        <v>14.68</v>
      </c>
      <c r="I246" s="71" t="s">
        <v>139</v>
      </c>
      <c r="K246" s="71">
        <v>646</v>
      </c>
      <c r="M246" s="72">
        <v>20.32</v>
      </c>
      <c r="N246" s="71" t="s">
        <v>1</v>
      </c>
      <c r="R246" s="71">
        <v>351</v>
      </c>
      <c r="T246" s="72">
        <v>14.68</v>
      </c>
      <c r="U246" s="71" t="s">
        <v>139</v>
      </c>
    </row>
    <row r="247" spans="1:21" x14ac:dyDescent="0.55000000000000004">
      <c r="A247" s="71">
        <v>824</v>
      </c>
      <c r="C247" s="73">
        <v>15.21</v>
      </c>
      <c r="F247" s="71">
        <v>351</v>
      </c>
      <c r="H247" s="72">
        <v>14.68</v>
      </c>
      <c r="I247" s="71" t="s">
        <v>139</v>
      </c>
      <c r="K247" s="71">
        <v>646</v>
      </c>
      <c r="M247" s="72">
        <v>20.32</v>
      </c>
      <c r="N247" s="71" t="s">
        <v>1</v>
      </c>
      <c r="R247" s="71">
        <v>351</v>
      </c>
      <c r="T247" s="72">
        <v>14.68</v>
      </c>
      <c r="U247" s="71" t="s">
        <v>139</v>
      </c>
    </row>
    <row r="248" spans="1:21" x14ac:dyDescent="0.55000000000000004">
      <c r="A248" s="71">
        <v>824</v>
      </c>
      <c r="C248" s="73">
        <v>15.21</v>
      </c>
      <c r="F248" s="71">
        <v>351</v>
      </c>
      <c r="H248" s="72">
        <v>14.68</v>
      </c>
      <c r="I248" s="71" t="s">
        <v>139</v>
      </c>
      <c r="K248" s="71">
        <v>183</v>
      </c>
      <c r="M248" s="72">
        <v>20.329999999999998</v>
      </c>
      <c r="N248" s="71" t="s">
        <v>1</v>
      </c>
      <c r="R248" s="71">
        <v>351</v>
      </c>
      <c r="T248" s="72">
        <v>14.68</v>
      </c>
      <c r="U248" s="71" t="s">
        <v>139</v>
      </c>
    </row>
    <row r="249" spans="1:21" x14ac:dyDescent="0.55000000000000004">
      <c r="A249" s="71">
        <v>143</v>
      </c>
      <c r="C249" s="73">
        <v>15.22</v>
      </c>
      <c r="F249" s="71">
        <v>351</v>
      </c>
      <c r="H249" s="72">
        <v>14.68</v>
      </c>
      <c r="I249" s="71" t="s">
        <v>139</v>
      </c>
      <c r="K249" s="71">
        <v>728</v>
      </c>
      <c r="M249" s="72">
        <v>20.38</v>
      </c>
      <c r="N249" s="71" t="s">
        <v>1</v>
      </c>
      <c r="R249" s="71">
        <v>351</v>
      </c>
      <c r="T249" s="72">
        <v>14.68</v>
      </c>
      <c r="U249" s="71" t="s">
        <v>139</v>
      </c>
    </row>
    <row r="250" spans="1:21" x14ac:dyDescent="0.55000000000000004">
      <c r="A250" s="71">
        <v>143</v>
      </c>
      <c r="C250" s="73">
        <v>15.22</v>
      </c>
      <c r="D250" s="73">
        <v>24.18</v>
      </c>
      <c r="F250" s="71">
        <v>351</v>
      </c>
      <c r="H250" s="72">
        <v>14.68</v>
      </c>
      <c r="I250" s="71" t="s">
        <v>139</v>
      </c>
      <c r="K250" s="71">
        <v>984</v>
      </c>
      <c r="M250" s="72">
        <v>20.5</v>
      </c>
      <c r="N250" s="71" t="s">
        <v>1</v>
      </c>
      <c r="R250" s="71">
        <v>351</v>
      </c>
      <c r="T250" s="72">
        <v>14.68</v>
      </c>
      <c r="U250" s="71" t="s">
        <v>139</v>
      </c>
    </row>
    <row r="251" spans="1:21" x14ac:dyDescent="0.55000000000000004">
      <c r="A251" s="71">
        <v>143</v>
      </c>
      <c r="C251" s="73">
        <v>15.22</v>
      </c>
      <c r="D251" s="73">
        <v>22.01</v>
      </c>
      <c r="F251" s="71">
        <v>351</v>
      </c>
      <c r="H251" s="72">
        <v>14.68</v>
      </c>
      <c r="I251" s="71" t="s">
        <v>139</v>
      </c>
      <c r="K251" s="71">
        <v>962</v>
      </c>
      <c r="M251" s="72">
        <v>20.5</v>
      </c>
      <c r="N251" s="71" t="s">
        <v>1</v>
      </c>
      <c r="R251" s="71">
        <v>351</v>
      </c>
      <c r="T251" s="72">
        <v>14.68</v>
      </c>
      <c r="U251" s="71" t="s">
        <v>139</v>
      </c>
    </row>
    <row r="252" spans="1:21" x14ac:dyDescent="0.55000000000000004">
      <c r="A252" s="71">
        <v>500</v>
      </c>
      <c r="C252" s="75">
        <v>15.23</v>
      </c>
      <c r="D252" s="75">
        <v>22.29</v>
      </c>
      <c r="F252" s="71">
        <v>351</v>
      </c>
      <c r="H252" s="72">
        <v>14.68</v>
      </c>
      <c r="I252" s="71" t="s">
        <v>139</v>
      </c>
      <c r="K252" s="71">
        <v>646</v>
      </c>
      <c r="M252" s="72">
        <v>20.52</v>
      </c>
      <c r="N252" s="71" t="s">
        <v>1</v>
      </c>
      <c r="R252" s="71">
        <v>351</v>
      </c>
      <c r="T252" s="72">
        <v>14.68</v>
      </c>
      <c r="U252" s="71" t="s">
        <v>139</v>
      </c>
    </row>
    <row r="253" spans="1:21" x14ac:dyDescent="0.55000000000000004">
      <c r="A253" s="71">
        <v>951</v>
      </c>
      <c r="C253" s="73">
        <v>15.25</v>
      </c>
      <c r="D253" s="73">
        <v>20.89</v>
      </c>
      <c r="F253" s="71">
        <v>351</v>
      </c>
      <c r="H253" s="72">
        <v>14.68</v>
      </c>
      <c r="I253" s="71" t="s">
        <v>139</v>
      </c>
      <c r="K253" s="71">
        <v>646</v>
      </c>
      <c r="M253" s="72">
        <v>20.52</v>
      </c>
      <c r="N253" s="71" t="s">
        <v>1</v>
      </c>
      <c r="R253" s="71">
        <v>351</v>
      </c>
      <c r="T253" s="72">
        <v>14.68</v>
      </c>
      <c r="U253" s="71" t="s">
        <v>139</v>
      </c>
    </row>
    <row r="254" spans="1:21" x14ac:dyDescent="0.55000000000000004">
      <c r="A254" s="71">
        <v>951</v>
      </c>
      <c r="C254" s="73">
        <v>15.25</v>
      </c>
      <c r="F254" s="71">
        <v>351</v>
      </c>
      <c r="H254" s="72">
        <v>14.68</v>
      </c>
      <c r="I254" s="71" t="s">
        <v>139</v>
      </c>
      <c r="K254" s="71">
        <v>528</v>
      </c>
      <c r="M254" s="72">
        <v>20.56</v>
      </c>
      <c r="N254" s="71" t="s">
        <v>1</v>
      </c>
      <c r="R254" s="71">
        <v>351</v>
      </c>
      <c r="T254" s="72">
        <v>14.68</v>
      </c>
      <c r="U254" s="71" t="s">
        <v>139</v>
      </c>
    </row>
    <row r="255" spans="1:21" x14ac:dyDescent="0.55000000000000004">
      <c r="A255" s="71">
        <v>951</v>
      </c>
      <c r="C255" s="73">
        <v>15.25</v>
      </c>
      <c r="F255" s="71">
        <v>351</v>
      </c>
      <c r="H255" s="72">
        <v>14.68</v>
      </c>
      <c r="I255" s="71" t="s">
        <v>139</v>
      </c>
      <c r="K255" s="71">
        <v>826</v>
      </c>
      <c r="M255" s="72">
        <v>20.58</v>
      </c>
      <c r="N255" s="71" t="s">
        <v>1</v>
      </c>
      <c r="R255" s="71">
        <v>351</v>
      </c>
      <c r="T255" s="72">
        <v>14.68</v>
      </c>
      <c r="U255" s="71" t="s">
        <v>139</v>
      </c>
    </row>
    <row r="256" spans="1:21" x14ac:dyDescent="0.55000000000000004">
      <c r="A256" s="71">
        <v>951</v>
      </c>
      <c r="C256" s="73">
        <v>15.25</v>
      </c>
      <c r="F256" s="71">
        <v>351</v>
      </c>
      <c r="H256" s="72">
        <v>14.68</v>
      </c>
      <c r="I256" s="71" t="s">
        <v>139</v>
      </c>
      <c r="K256" s="71">
        <v>506</v>
      </c>
      <c r="M256" s="72">
        <v>20.69</v>
      </c>
      <c r="N256" s="71" t="s">
        <v>1</v>
      </c>
      <c r="R256" s="71">
        <v>351</v>
      </c>
      <c r="T256" s="72">
        <v>14.68</v>
      </c>
      <c r="U256" s="71" t="s">
        <v>139</v>
      </c>
    </row>
    <row r="257" spans="1:21" x14ac:dyDescent="0.55000000000000004">
      <c r="A257" s="71">
        <v>951</v>
      </c>
      <c r="C257" s="73">
        <v>15.25</v>
      </c>
      <c r="F257" s="71">
        <v>351</v>
      </c>
      <c r="H257" s="72">
        <v>14.68</v>
      </c>
      <c r="I257" s="71" t="s">
        <v>139</v>
      </c>
      <c r="K257" s="71">
        <v>506</v>
      </c>
      <c r="M257" s="72">
        <v>20.69</v>
      </c>
      <c r="N257" s="71" t="s">
        <v>1</v>
      </c>
      <c r="R257" s="71">
        <v>351</v>
      </c>
      <c r="T257" s="72">
        <v>14.68</v>
      </c>
      <c r="U257" s="71" t="s">
        <v>139</v>
      </c>
    </row>
    <row r="258" spans="1:21" x14ac:dyDescent="0.55000000000000004">
      <c r="A258" s="71">
        <v>288</v>
      </c>
      <c r="C258" s="73">
        <v>15.25</v>
      </c>
      <c r="F258" s="71">
        <v>351</v>
      </c>
      <c r="H258" s="72">
        <v>14.68</v>
      </c>
      <c r="I258" s="71" t="s">
        <v>139</v>
      </c>
      <c r="K258" s="71">
        <v>646</v>
      </c>
      <c r="M258" s="72">
        <v>20.72</v>
      </c>
      <c r="N258" s="71" t="s">
        <v>1</v>
      </c>
      <c r="R258" s="71">
        <v>351</v>
      </c>
      <c r="T258" s="72">
        <v>14.68</v>
      </c>
      <c r="U258" s="71" t="s">
        <v>139</v>
      </c>
    </row>
    <row r="259" spans="1:21" x14ac:dyDescent="0.55000000000000004">
      <c r="A259" s="71">
        <v>288</v>
      </c>
      <c r="C259" s="73">
        <v>15.25</v>
      </c>
      <c r="F259" s="71">
        <v>351</v>
      </c>
      <c r="H259" s="72">
        <v>14.68</v>
      </c>
      <c r="I259" s="71" t="s">
        <v>139</v>
      </c>
      <c r="K259" s="71">
        <v>646</v>
      </c>
      <c r="M259" s="72">
        <v>20.72</v>
      </c>
      <c r="N259" s="71" t="s">
        <v>1</v>
      </c>
      <c r="R259" s="71">
        <v>351</v>
      </c>
      <c r="T259" s="72">
        <v>14.68</v>
      </c>
      <c r="U259" s="71" t="s">
        <v>139</v>
      </c>
    </row>
    <row r="260" spans="1:21" x14ac:dyDescent="0.55000000000000004">
      <c r="A260" s="71">
        <v>315</v>
      </c>
      <c r="C260" s="73">
        <v>15.25</v>
      </c>
      <c r="F260" s="71">
        <v>351</v>
      </c>
      <c r="H260" s="72">
        <v>14.68</v>
      </c>
      <c r="I260" s="71" t="s">
        <v>139</v>
      </c>
      <c r="K260" s="71">
        <v>318</v>
      </c>
      <c r="M260" s="72">
        <v>20.75</v>
      </c>
      <c r="N260" s="71" t="s">
        <v>1</v>
      </c>
      <c r="R260" s="71">
        <v>351</v>
      </c>
      <c r="T260" s="72">
        <v>14.68</v>
      </c>
      <c r="U260" s="71" t="s">
        <v>139</v>
      </c>
    </row>
    <row r="261" spans="1:21" x14ac:dyDescent="0.55000000000000004">
      <c r="A261" s="71">
        <v>315</v>
      </c>
      <c r="C261" s="73">
        <v>15.25</v>
      </c>
      <c r="F261" s="71">
        <v>351</v>
      </c>
      <c r="H261" s="72">
        <v>14.68</v>
      </c>
      <c r="I261" s="71" t="s">
        <v>139</v>
      </c>
      <c r="K261" s="71">
        <v>712</v>
      </c>
      <c r="M261" s="72">
        <v>20.76</v>
      </c>
      <c r="N261" s="71" t="s">
        <v>1</v>
      </c>
      <c r="R261" s="71">
        <v>351</v>
      </c>
      <c r="T261" s="72">
        <v>14.68</v>
      </c>
      <c r="U261" s="71" t="s">
        <v>139</v>
      </c>
    </row>
    <row r="262" spans="1:21" x14ac:dyDescent="0.55000000000000004">
      <c r="A262" s="71">
        <v>315</v>
      </c>
      <c r="C262" s="73">
        <v>15.25</v>
      </c>
      <c r="F262" s="71">
        <v>351</v>
      </c>
      <c r="H262" s="72">
        <v>14.68</v>
      </c>
      <c r="I262" s="71" t="s">
        <v>139</v>
      </c>
      <c r="K262" s="71">
        <v>712</v>
      </c>
      <c r="M262" s="72">
        <v>20.76</v>
      </c>
      <c r="N262" s="71" t="s">
        <v>1</v>
      </c>
      <c r="R262" s="71">
        <v>351</v>
      </c>
      <c r="T262" s="72">
        <v>14.68</v>
      </c>
      <c r="U262" s="71" t="s">
        <v>139</v>
      </c>
    </row>
    <row r="263" spans="1:21" x14ac:dyDescent="0.55000000000000004">
      <c r="A263" s="71">
        <v>315</v>
      </c>
      <c r="C263" s="73">
        <v>15.25</v>
      </c>
      <c r="F263" s="71">
        <v>351</v>
      </c>
      <c r="H263" s="72">
        <v>14.98</v>
      </c>
      <c r="I263" s="71" t="s">
        <v>139</v>
      </c>
      <c r="K263" s="71">
        <v>712</v>
      </c>
      <c r="M263" s="72">
        <v>20.76</v>
      </c>
      <c r="N263" s="71" t="s">
        <v>1</v>
      </c>
      <c r="R263" s="71">
        <v>351</v>
      </c>
      <c r="T263" s="72">
        <v>14.98</v>
      </c>
      <c r="U263" s="71" t="s">
        <v>139</v>
      </c>
    </row>
    <row r="264" spans="1:21" x14ac:dyDescent="0.55000000000000004">
      <c r="A264" s="71">
        <v>351</v>
      </c>
      <c r="C264" s="73">
        <v>15.27</v>
      </c>
      <c r="F264" s="71">
        <v>351</v>
      </c>
      <c r="H264" s="72">
        <v>14.98</v>
      </c>
      <c r="I264" s="71" t="s">
        <v>139</v>
      </c>
      <c r="K264" s="71">
        <v>142</v>
      </c>
      <c r="M264" s="72">
        <v>20.765599999999999</v>
      </c>
      <c r="N264" s="71" t="s">
        <v>1</v>
      </c>
      <c r="R264" s="71">
        <v>351</v>
      </c>
      <c r="T264" s="72">
        <v>14.98</v>
      </c>
      <c r="U264" s="71" t="s">
        <v>139</v>
      </c>
    </row>
    <row r="265" spans="1:21" x14ac:dyDescent="0.55000000000000004">
      <c r="A265" s="71">
        <v>535</v>
      </c>
      <c r="C265" s="73">
        <v>15.27</v>
      </c>
      <c r="F265" s="71">
        <v>351</v>
      </c>
      <c r="H265" s="72">
        <v>14.98</v>
      </c>
      <c r="I265" s="71" t="s">
        <v>139</v>
      </c>
      <c r="K265" s="71">
        <v>145</v>
      </c>
      <c r="M265" s="72">
        <v>20.8</v>
      </c>
      <c r="N265" s="71" t="s">
        <v>1</v>
      </c>
      <c r="R265" s="71">
        <v>351</v>
      </c>
      <c r="T265" s="72">
        <v>14.98</v>
      </c>
      <c r="U265" s="71" t="s">
        <v>139</v>
      </c>
    </row>
    <row r="266" spans="1:21" x14ac:dyDescent="0.55000000000000004">
      <c r="A266" s="71">
        <v>535</v>
      </c>
      <c r="C266" s="73">
        <v>15.27</v>
      </c>
      <c r="F266" s="71">
        <v>351</v>
      </c>
      <c r="H266" s="72">
        <v>14.98</v>
      </c>
      <c r="I266" s="71" t="s">
        <v>139</v>
      </c>
      <c r="K266" s="71">
        <v>584</v>
      </c>
      <c r="M266" s="72">
        <v>20.8</v>
      </c>
      <c r="N266" s="71" t="s">
        <v>1</v>
      </c>
      <c r="R266" s="71">
        <v>351</v>
      </c>
      <c r="T266" s="72">
        <v>14.98</v>
      </c>
      <c r="U266" s="71" t="s">
        <v>139</v>
      </c>
    </row>
    <row r="267" spans="1:21" x14ac:dyDescent="0.55000000000000004">
      <c r="A267" s="71">
        <v>535</v>
      </c>
      <c r="C267" s="73">
        <v>15.27</v>
      </c>
      <c r="D267" s="73">
        <v>26.41</v>
      </c>
      <c r="F267" s="71">
        <v>351</v>
      </c>
      <c r="H267" s="72">
        <v>15.27</v>
      </c>
      <c r="I267" s="71" t="s">
        <v>139</v>
      </c>
      <c r="K267" s="71">
        <v>156</v>
      </c>
      <c r="M267" s="72">
        <v>20.8</v>
      </c>
      <c r="N267" s="71" t="s">
        <v>1</v>
      </c>
      <c r="R267" s="71">
        <v>351</v>
      </c>
      <c r="T267" s="72">
        <v>15.27</v>
      </c>
      <c r="U267" s="71" t="s">
        <v>139</v>
      </c>
    </row>
    <row r="268" spans="1:21" x14ac:dyDescent="0.55000000000000004">
      <c r="A268" s="71">
        <v>535</v>
      </c>
      <c r="C268" s="73">
        <v>15.27</v>
      </c>
      <c r="D268" s="73">
        <v>24.78</v>
      </c>
      <c r="F268" s="71">
        <v>351</v>
      </c>
      <c r="H268" s="72">
        <v>15.88</v>
      </c>
      <c r="I268" s="71" t="s">
        <v>139</v>
      </c>
      <c r="K268" s="71">
        <v>173</v>
      </c>
      <c r="M268" s="72">
        <v>20.8</v>
      </c>
      <c r="N268" s="71" t="s">
        <v>1</v>
      </c>
      <c r="R268" s="71">
        <v>351</v>
      </c>
      <c r="T268" s="72">
        <v>15.88</v>
      </c>
      <c r="U268" s="71" t="s">
        <v>139</v>
      </c>
    </row>
    <row r="269" spans="1:21" x14ac:dyDescent="0.55000000000000004">
      <c r="A269" s="71">
        <v>535</v>
      </c>
      <c r="C269" s="73">
        <v>15.27</v>
      </c>
      <c r="D269" s="73">
        <v>22.51</v>
      </c>
      <c r="F269" s="71">
        <v>351</v>
      </c>
      <c r="H269" s="72">
        <v>15.88</v>
      </c>
      <c r="I269" s="71" t="s">
        <v>139</v>
      </c>
      <c r="K269" s="71">
        <v>263</v>
      </c>
      <c r="M269" s="72">
        <v>20.81</v>
      </c>
      <c r="N269" s="71" t="s">
        <v>1</v>
      </c>
      <c r="R269" s="71">
        <v>351</v>
      </c>
      <c r="T269" s="72">
        <v>15.88</v>
      </c>
      <c r="U269" s="71" t="s">
        <v>139</v>
      </c>
    </row>
    <row r="270" spans="1:21" x14ac:dyDescent="0.55000000000000004">
      <c r="A270" s="71">
        <v>535</v>
      </c>
      <c r="C270" s="73">
        <v>15.27</v>
      </c>
      <c r="D270" s="73">
        <v>26.41</v>
      </c>
      <c r="F270" s="71">
        <v>351</v>
      </c>
      <c r="H270" s="72">
        <v>15.88</v>
      </c>
      <c r="I270" s="71" t="s">
        <v>139</v>
      </c>
      <c r="K270" s="71">
        <v>263</v>
      </c>
      <c r="M270" s="72">
        <v>20.81</v>
      </c>
      <c r="N270" s="71" t="s">
        <v>1</v>
      </c>
      <c r="R270" s="71">
        <v>351</v>
      </c>
      <c r="T270" s="72">
        <v>15.88</v>
      </c>
      <c r="U270" s="71" t="s">
        <v>139</v>
      </c>
    </row>
    <row r="271" spans="1:21" x14ac:dyDescent="0.55000000000000004">
      <c r="A271" s="71">
        <v>535</v>
      </c>
      <c r="C271" s="73">
        <v>15.27</v>
      </c>
      <c r="D271" s="73">
        <v>26.41</v>
      </c>
      <c r="F271" s="71">
        <v>351</v>
      </c>
      <c r="H271" s="72">
        <v>16.2</v>
      </c>
      <c r="I271" s="71" t="s">
        <v>139</v>
      </c>
      <c r="K271" s="71">
        <v>883</v>
      </c>
      <c r="M271" s="72">
        <v>20.83</v>
      </c>
      <c r="N271" s="71" t="s">
        <v>1</v>
      </c>
      <c r="R271" s="71">
        <v>351</v>
      </c>
      <c r="T271" s="72">
        <v>16.2</v>
      </c>
      <c r="U271" s="71" t="s">
        <v>139</v>
      </c>
    </row>
    <row r="272" spans="1:21" x14ac:dyDescent="0.55000000000000004">
      <c r="A272" s="71">
        <v>535</v>
      </c>
      <c r="C272" s="73">
        <v>15.27</v>
      </c>
      <c r="D272" s="73">
        <v>26.41</v>
      </c>
      <c r="F272" s="71">
        <v>351</v>
      </c>
      <c r="H272" s="72">
        <v>17.54</v>
      </c>
      <c r="I272" s="71" t="s">
        <v>139</v>
      </c>
      <c r="K272" s="71">
        <v>575</v>
      </c>
      <c r="M272" s="72">
        <v>20.89</v>
      </c>
      <c r="N272" s="71" t="s">
        <v>1</v>
      </c>
      <c r="R272" s="71">
        <v>351</v>
      </c>
      <c r="T272" s="72">
        <v>17.54</v>
      </c>
      <c r="U272" s="71" t="s">
        <v>139</v>
      </c>
    </row>
    <row r="273" spans="1:21" x14ac:dyDescent="0.55000000000000004">
      <c r="A273" s="71">
        <v>535</v>
      </c>
      <c r="C273" s="73">
        <v>15.27</v>
      </c>
      <c r="F273" s="71">
        <v>351</v>
      </c>
      <c r="H273" s="72">
        <v>17.89</v>
      </c>
      <c r="I273" s="71" t="s">
        <v>139</v>
      </c>
      <c r="K273" s="71">
        <v>535</v>
      </c>
      <c r="M273" s="72">
        <v>20.93</v>
      </c>
      <c r="N273" s="71" t="s">
        <v>1</v>
      </c>
      <c r="R273" s="71">
        <v>351</v>
      </c>
      <c r="T273" s="72">
        <v>17.89</v>
      </c>
      <c r="U273" s="71" t="s">
        <v>139</v>
      </c>
    </row>
    <row r="274" spans="1:21" x14ac:dyDescent="0.55000000000000004">
      <c r="A274" s="71">
        <v>535</v>
      </c>
      <c r="C274" s="73">
        <v>15.27</v>
      </c>
      <c r="F274" s="71">
        <v>351</v>
      </c>
      <c r="H274" s="72">
        <v>18.07</v>
      </c>
      <c r="I274" s="71" t="s">
        <v>139</v>
      </c>
      <c r="K274" s="71">
        <v>766</v>
      </c>
      <c r="M274" s="72">
        <v>20.99</v>
      </c>
      <c r="N274" s="71" t="s">
        <v>1</v>
      </c>
      <c r="R274" s="71">
        <v>351</v>
      </c>
      <c r="T274" s="72">
        <v>18.07</v>
      </c>
      <c r="U274" s="71" t="s">
        <v>139</v>
      </c>
    </row>
    <row r="275" spans="1:21" x14ac:dyDescent="0.55000000000000004">
      <c r="A275" s="71">
        <v>535</v>
      </c>
      <c r="C275" s="73">
        <v>15.27</v>
      </c>
      <c r="F275" s="71">
        <v>351</v>
      </c>
      <c r="H275" s="72">
        <v>18.440000000000001</v>
      </c>
      <c r="I275" s="71" t="s">
        <v>139</v>
      </c>
      <c r="K275" s="71">
        <v>814</v>
      </c>
      <c r="M275" s="72">
        <v>21</v>
      </c>
      <c r="N275" s="71" t="s">
        <v>1</v>
      </c>
      <c r="R275" s="71">
        <v>351</v>
      </c>
      <c r="T275" s="72">
        <v>18.440000000000001</v>
      </c>
      <c r="U275" s="71" t="s">
        <v>139</v>
      </c>
    </row>
    <row r="276" spans="1:21" x14ac:dyDescent="0.55000000000000004">
      <c r="A276" s="71">
        <v>535</v>
      </c>
      <c r="C276" s="74">
        <v>15.27</v>
      </c>
      <c r="D276" s="74"/>
      <c r="F276" s="71">
        <v>380</v>
      </c>
      <c r="H276" s="72">
        <v>17.37</v>
      </c>
      <c r="I276" s="71" t="s">
        <v>139</v>
      </c>
      <c r="K276" s="71">
        <v>883</v>
      </c>
      <c r="M276" s="72">
        <v>21</v>
      </c>
      <c r="N276" s="71" t="s">
        <v>1</v>
      </c>
      <c r="R276" s="71">
        <v>380</v>
      </c>
      <c r="T276" s="72">
        <v>17.37</v>
      </c>
      <c r="U276" s="71" t="s">
        <v>139</v>
      </c>
    </row>
    <row r="277" spans="1:21" x14ac:dyDescent="0.55000000000000004">
      <c r="A277" s="71">
        <v>535</v>
      </c>
      <c r="C277" s="74">
        <v>15.27</v>
      </c>
      <c r="D277" s="74"/>
      <c r="F277" s="71">
        <v>380</v>
      </c>
      <c r="H277" s="72">
        <v>18.45</v>
      </c>
      <c r="I277" s="71" t="s">
        <v>139</v>
      </c>
      <c r="K277" s="71">
        <v>776</v>
      </c>
      <c r="M277" s="72">
        <v>21</v>
      </c>
      <c r="N277" s="71" t="s">
        <v>1</v>
      </c>
      <c r="R277" s="71">
        <v>380</v>
      </c>
      <c r="T277" s="72">
        <v>18.45</v>
      </c>
      <c r="U277" s="71" t="s">
        <v>139</v>
      </c>
    </row>
    <row r="278" spans="1:21" x14ac:dyDescent="0.55000000000000004">
      <c r="A278" s="71">
        <v>535</v>
      </c>
      <c r="C278" s="74">
        <v>15.27</v>
      </c>
      <c r="D278" s="74"/>
      <c r="F278" s="71">
        <v>380</v>
      </c>
      <c r="H278" s="72">
        <v>19.939999999999998</v>
      </c>
      <c r="I278" s="71" t="s">
        <v>139</v>
      </c>
      <c r="K278" s="71">
        <v>776</v>
      </c>
      <c r="M278" s="72">
        <v>21</v>
      </c>
      <c r="N278" s="71" t="s">
        <v>1</v>
      </c>
      <c r="R278" s="71">
        <v>380</v>
      </c>
      <c r="T278" s="72">
        <v>19.939999999999998</v>
      </c>
      <c r="U278" s="71" t="s">
        <v>139</v>
      </c>
    </row>
    <row r="279" spans="1:21" x14ac:dyDescent="0.55000000000000004">
      <c r="A279" s="71">
        <v>535</v>
      </c>
      <c r="C279" s="74">
        <v>15.27</v>
      </c>
      <c r="D279" s="74"/>
      <c r="F279" s="71">
        <v>380</v>
      </c>
      <c r="H279" s="72">
        <v>19.939999999999998</v>
      </c>
      <c r="I279" s="71" t="s">
        <v>139</v>
      </c>
      <c r="K279" s="71">
        <v>316</v>
      </c>
      <c r="M279" s="72">
        <v>21</v>
      </c>
      <c r="N279" s="71" t="s">
        <v>1</v>
      </c>
      <c r="R279" s="71">
        <v>380</v>
      </c>
      <c r="T279" s="72">
        <v>19.939999999999998</v>
      </c>
      <c r="U279" s="71" t="s">
        <v>139</v>
      </c>
    </row>
    <row r="280" spans="1:21" x14ac:dyDescent="0.55000000000000004">
      <c r="A280" s="71">
        <v>535</v>
      </c>
      <c r="C280" s="74">
        <v>15.27</v>
      </c>
      <c r="D280" s="74"/>
      <c r="F280" s="71">
        <v>380</v>
      </c>
      <c r="H280" s="72">
        <v>19.939999999999998</v>
      </c>
      <c r="I280" s="71" t="s">
        <v>139</v>
      </c>
      <c r="K280" s="71">
        <v>584</v>
      </c>
      <c r="M280" s="72">
        <v>21</v>
      </c>
      <c r="N280" s="71" t="s">
        <v>1</v>
      </c>
      <c r="R280" s="71">
        <v>380</v>
      </c>
      <c r="T280" s="72">
        <v>19.939999999999998</v>
      </c>
      <c r="U280" s="71" t="s">
        <v>139</v>
      </c>
    </row>
    <row r="281" spans="1:21" x14ac:dyDescent="0.55000000000000004">
      <c r="A281" s="71">
        <v>535</v>
      </c>
      <c r="C281" s="74">
        <v>15.27</v>
      </c>
      <c r="D281" s="74"/>
      <c r="F281" s="71">
        <v>380</v>
      </c>
      <c r="H281" s="72">
        <v>20.079999999999998</v>
      </c>
      <c r="I281" s="71" t="s">
        <v>139</v>
      </c>
      <c r="K281" s="71">
        <v>486</v>
      </c>
      <c r="M281" s="72">
        <v>21</v>
      </c>
      <c r="N281" s="71" t="s">
        <v>1</v>
      </c>
      <c r="R281" s="71">
        <v>380</v>
      </c>
      <c r="T281" s="72">
        <v>20.079999999999998</v>
      </c>
      <c r="U281" s="71" t="s">
        <v>139</v>
      </c>
    </row>
    <row r="282" spans="1:21" x14ac:dyDescent="0.55000000000000004">
      <c r="A282" s="71">
        <v>535</v>
      </c>
      <c r="C282" s="74">
        <v>15.27</v>
      </c>
      <c r="D282" s="74"/>
      <c r="F282" s="71">
        <v>380</v>
      </c>
      <c r="H282" s="72">
        <v>20.079999999999998</v>
      </c>
      <c r="I282" s="71" t="s">
        <v>139</v>
      </c>
      <c r="K282" s="71">
        <v>959</v>
      </c>
      <c r="M282" s="72">
        <v>21</v>
      </c>
      <c r="N282" s="71" t="s">
        <v>1</v>
      </c>
      <c r="R282" s="71">
        <v>380</v>
      </c>
      <c r="T282" s="72">
        <v>20.079999999999998</v>
      </c>
      <c r="U282" s="71" t="s">
        <v>139</v>
      </c>
    </row>
    <row r="283" spans="1:21" x14ac:dyDescent="0.55000000000000004">
      <c r="A283" s="71">
        <v>535</v>
      </c>
      <c r="C283" s="74">
        <v>15.27</v>
      </c>
      <c r="D283" s="74"/>
      <c r="F283" s="71">
        <v>380</v>
      </c>
      <c r="H283" s="72">
        <v>20.079999999999998</v>
      </c>
      <c r="I283" s="71" t="s">
        <v>139</v>
      </c>
      <c r="K283" s="71">
        <v>558</v>
      </c>
      <c r="M283" s="72">
        <v>21</v>
      </c>
      <c r="N283" s="71" t="s">
        <v>1</v>
      </c>
      <c r="R283" s="71">
        <v>380</v>
      </c>
      <c r="T283" s="72">
        <v>20.079999999999998</v>
      </c>
      <c r="U283" s="71" t="s">
        <v>139</v>
      </c>
    </row>
    <row r="284" spans="1:21" x14ac:dyDescent="0.55000000000000004">
      <c r="A284" s="71">
        <v>535</v>
      </c>
      <c r="C284" s="74">
        <v>15.27</v>
      </c>
      <c r="D284" s="74"/>
      <c r="F284" s="71">
        <v>380</v>
      </c>
      <c r="H284" s="72">
        <v>20.079999999999998</v>
      </c>
      <c r="I284" s="71" t="s">
        <v>139</v>
      </c>
      <c r="K284" s="71">
        <v>558</v>
      </c>
      <c r="M284" s="72">
        <v>21</v>
      </c>
      <c r="N284" s="71" t="s">
        <v>1</v>
      </c>
      <c r="R284" s="71">
        <v>380</v>
      </c>
      <c r="T284" s="72">
        <v>20.079999999999998</v>
      </c>
      <c r="U284" s="71" t="s">
        <v>139</v>
      </c>
    </row>
    <row r="285" spans="1:21" x14ac:dyDescent="0.55000000000000004">
      <c r="A285" s="71">
        <v>535</v>
      </c>
      <c r="C285" s="74">
        <v>15.27</v>
      </c>
      <c r="D285" s="74"/>
      <c r="F285" s="71">
        <v>380</v>
      </c>
      <c r="H285" s="72">
        <v>20.380000000000003</v>
      </c>
      <c r="I285" s="71" t="s">
        <v>139</v>
      </c>
      <c r="K285" s="71">
        <v>558</v>
      </c>
      <c r="M285" s="72">
        <v>21</v>
      </c>
      <c r="N285" s="71" t="s">
        <v>1</v>
      </c>
      <c r="R285" s="71">
        <v>380</v>
      </c>
      <c r="T285" s="72">
        <v>20.380000000000003</v>
      </c>
      <c r="U285" s="71" t="s">
        <v>139</v>
      </c>
    </row>
    <row r="286" spans="1:21" x14ac:dyDescent="0.55000000000000004">
      <c r="A286" s="71">
        <v>535</v>
      </c>
      <c r="C286" s="74">
        <v>15.27</v>
      </c>
      <c r="D286" s="74"/>
      <c r="F286" s="71">
        <v>380</v>
      </c>
      <c r="H286" s="72">
        <v>20.380000000000003</v>
      </c>
      <c r="I286" s="71" t="s">
        <v>139</v>
      </c>
      <c r="K286" s="71">
        <v>318</v>
      </c>
      <c r="M286" s="72">
        <v>21</v>
      </c>
      <c r="N286" s="71" t="s">
        <v>1</v>
      </c>
      <c r="R286" s="71">
        <v>380</v>
      </c>
      <c r="T286" s="72">
        <v>20.380000000000003</v>
      </c>
      <c r="U286" s="71" t="s">
        <v>139</v>
      </c>
    </row>
    <row r="287" spans="1:21" x14ac:dyDescent="0.55000000000000004">
      <c r="A287" s="71">
        <v>535</v>
      </c>
      <c r="C287" s="74">
        <v>15.27</v>
      </c>
      <c r="D287" s="74"/>
      <c r="F287" s="71">
        <v>380</v>
      </c>
      <c r="H287" s="72">
        <v>20.380000000000003</v>
      </c>
      <c r="I287" s="71" t="s">
        <v>139</v>
      </c>
      <c r="K287" s="71">
        <v>500</v>
      </c>
      <c r="M287" s="72">
        <v>21</v>
      </c>
      <c r="N287" s="71" t="s">
        <v>1</v>
      </c>
      <c r="R287" s="71">
        <v>380</v>
      </c>
      <c r="T287" s="72">
        <v>20.380000000000003</v>
      </c>
      <c r="U287" s="71" t="s">
        <v>139</v>
      </c>
    </row>
    <row r="288" spans="1:21" x14ac:dyDescent="0.55000000000000004">
      <c r="A288" s="71">
        <v>535</v>
      </c>
      <c r="C288" s="74">
        <v>15.27</v>
      </c>
      <c r="D288" s="74"/>
      <c r="F288" s="71">
        <v>380</v>
      </c>
      <c r="H288" s="72">
        <v>20.380000000000003</v>
      </c>
      <c r="I288" s="71" t="s">
        <v>139</v>
      </c>
      <c r="K288" s="71">
        <v>883</v>
      </c>
      <c r="M288" s="72">
        <v>21.01</v>
      </c>
      <c r="N288" s="71" t="s">
        <v>1</v>
      </c>
      <c r="R288" s="71">
        <v>380</v>
      </c>
      <c r="T288" s="72">
        <v>20.380000000000003</v>
      </c>
      <c r="U288" s="71" t="s">
        <v>139</v>
      </c>
    </row>
    <row r="289" spans="1:21" x14ac:dyDescent="0.55000000000000004">
      <c r="A289" s="71">
        <v>535</v>
      </c>
      <c r="C289" s="74">
        <v>15.27</v>
      </c>
      <c r="D289" s="74"/>
      <c r="F289" s="71">
        <v>380</v>
      </c>
      <c r="H289" s="72">
        <v>20.689999999999998</v>
      </c>
      <c r="I289" s="71" t="s">
        <v>139</v>
      </c>
      <c r="K289" s="71">
        <v>560</v>
      </c>
      <c r="M289" s="72">
        <v>21.01</v>
      </c>
      <c r="N289" s="71" t="s">
        <v>1</v>
      </c>
      <c r="R289" s="71">
        <v>380</v>
      </c>
      <c r="T289" s="72">
        <v>20.689999999999998</v>
      </c>
      <c r="U289" s="71" t="s">
        <v>139</v>
      </c>
    </row>
    <row r="290" spans="1:21" x14ac:dyDescent="0.55000000000000004">
      <c r="A290" s="71">
        <v>535</v>
      </c>
      <c r="C290" s="74">
        <v>15.27</v>
      </c>
      <c r="D290" s="74"/>
      <c r="F290" s="71">
        <v>380</v>
      </c>
      <c r="H290" s="72">
        <v>20.689999999999998</v>
      </c>
      <c r="I290" s="71" t="s">
        <v>139</v>
      </c>
      <c r="K290" s="71">
        <v>783</v>
      </c>
      <c r="M290" s="72">
        <v>21.084299999999999</v>
      </c>
      <c r="N290" s="71" t="s">
        <v>1</v>
      </c>
      <c r="R290" s="71">
        <v>380</v>
      </c>
      <c r="T290" s="72">
        <v>20.689999999999998</v>
      </c>
      <c r="U290" s="71" t="s">
        <v>139</v>
      </c>
    </row>
    <row r="291" spans="1:21" x14ac:dyDescent="0.55000000000000004">
      <c r="A291" s="71">
        <v>535</v>
      </c>
      <c r="C291" s="74">
        <v>15.27</v>
      </c>
      <c r="D291" s="74"/>
      <c r="F291" s="71">
        <v>380</v>
      </c>
      <c r="H291" s="72">
        <v>20.689999999999998</v>
      </c>
      <c r="I291" s="71" t="s">
        <v>139</v>
      </c>
      <c r="K291" s="71">
        <v>828</v>
      </c>
      <c r="M291" s="72">
        <v>21.09</v>
      </c>
      <c r="N291" s="71" t="s">
        <v>1</v>
      </c>
      <c r="R291" s="71">
        <v>380</v>
      </c>
      <c r="T291" s="72">
        <v>20.689999999999998</v>
      </c>
      <c r="U291" s="71" t="s">
        <v>139</v>
      </c>
    </row>
    <row r="292" spans="1:21" x14ac:dyDescent="0.55000000000000004">
      <c r="A292" s="71">
        <v>535</v>
      </c>
      <c r="C292" s="74">
        <v>15.27</v>
      </c>
      <c r="D292" s="74"/>
      <c r="F292" s="71">
        <v>380</v>
      </c>
      <c r="H292" s="72">
        <v>21.32</v>
      </c>
      <c r="I292" s="71" t="s">
        <v>139</v>
      </c>
      <c r="K292" s="71">
        <v>728</v>
      </c>
      <c r="M292" s="72">
        <v>21.14</v>
      </c>
      <c r="N292" s="71" t="s">
        <v>1</v>
      </c>
      <c r="R292" s="71">
        <v>380</v>
      </c>
      <c r="T292" s="72">
        <v>21.32</v>
      </c>
      <c r="U292" s="71" t="s">
        <v>139</v>
      </c>
    </row>
    <row r="293" spans="1:21" x14ac:dyDescent="0.55000000000000004">
      <c r="A293" s="71">
        <v>535</v>
      </c>
      <c r="C293" s="74">
        <v>15.27</v>
      </c>
      <c r="D293" s="74"/>
      <c r="F293" s="71">
        <v>380</v>
      </c>
      <c r="H293" s="72">
        <v>21.97</v>
      </c>
      <c r="I293" s="71" t="s">
        <v>139</v>
      </c>
      <c r="K293" s="71">
        <v>535</v>
      </c>
      <c r="M293" s="72">
        <v>21.15</v>
      </c>
      <c r="N293" s="71" t="s">
        <v>1</v>
      </c>
      <c r="R293" s="71">
        <v>380</v>
      </c>
      <c r="T293" s="72">
        <v>21.97</v>
      </c>
      <c r="U293" s="71" t="s">
        <v>139</v>
      </c>
    </row>
    <row r="294" spans="1:21" x14ac:dyDescent="0.55000000000000004">
      <c r="A294" s="71">
        <v>535</v>
      </c>
      <c r="C294" s="74">
        <v>15.27</v>
      </c>
      <c r="D294" s="74">
        <v>19.5</v>
      </c>
      <c r="F294" s="71">
        <v>380</v>
      </c>
      <c r="H294" s="72">
        <v>22.65</v>
      </c>
      <c r="I294" s="71" t="s">
        <v>139</v>
      </c>
      <c r="K294" s="71">
        <v>646</v>
      </c>
      <c r="M294" s="72">
        <v>21.15</v>
      </c>
      <c r="N294" s="71" t="s">
        <v>1</v>
      </c>
      <c r="R294" s="71">
        <v>380</v>
      </c>
      <c r="T294" s="72">
        <v>22.65</v>
      </c>
      <c r="U294" s="71" t="s">
        <v>139</v>
      </c>
    </row>
    <row r="295" spans="1:21" x14ac:dyDescent="0.55000000000000004">
      <c r="A295" s="71">
        <v>535</v>
      </c>
      <c r="C295" s="74">
        <v>15.27</v>
      </c>
      <c r="D295" s="74">
        <v>20.32</v>
      </c>
      <c r="F295" s="71">
        <v>380</v>
      </c>
      <c r="H295" s="72">
        <v>22.66</v>
      </c>
      <c r="I295" s="71" t="s">
        <v>139</v>
      </c>
      <c r="K295" s="71">
        <v>646</v>
      </c>
      <c r="M295" s="72">
        <v>21.15</v>
      </c>
      <c r="N295" s="71" t="s">
        <v>1</v>
      </c>
      <c r="R295" s="71">
        <v>380</v>
      </c>
      <c r="T295" s="72">
        <v>22.66</v>
      </c>
      <c r="U295" s="71" t="s">
        <v>139</v>
      </c>
    </row>
    <row r="296" spans="1:21" x14ac:dyDescent="0.55000000000000004">
      <c r="A296" s="71">
        <v>535</v>
      </c>
      <c r="C296" s="73">
        <v>15.27</v>
      </c>
      <c r="F296" s="71">
        <v>380</v>
      </c>
      <c r="H296" s="72">
        <v>23.38</v>
      </c>
      <c r="I296" s="71" t="s">
        <v>139</v>
      </c>
      <c r="K296" s="71">
        <v>277</v>
      </c>
      <c r="M296" s="72">
        <v>21.155200000000001</v>
      </c>
      <c r="N296" s="71" t="s">
        <v>1</v>
      </c>
      <c r="R296" s="71">
        <v>380</v>
      </c>
      <c r="T296" s="72">
        <v>23.38</v>
      </c>
      <c r="U296" s="71" t="s">
        <v>139</v>
      </c>
    </row>
    <row r="297" spans="1:21" x14ac:dyDescent="0.55000000000000004">
      <c r="A297" s="71">
        <v>646</v>
      </c>
      <c r="C297" s="73">
        <v>15.27</v>
      </c>
      <c r="F297" s="71">
        <v>380</v>
      </c>
      <c r="H297" s="72">
        <v>23.38</v>
      </c>
      <c r="I297" s="71" t="s">
        <v>139</v>
      </c>
      <c r="K297" s="71">
        <v>642</v>
      </c>
      <c r="M297" s="72">
        <v>21.16</v>
      </c>
      <c r="N297" s="71" t="s">
        <v>1</v>
      </c>
      <c r="R297" s="71">
        <v>380</v>
      </c>
      <c r="T297" s="72">
        <v>23.38</v>
      </c>
      <c r="U297" s="71" t="s">
        <v>139</v>
      </c>
    </row>
    <row r="298" spans="1:21" x14ac:dyDescent="0.55000000000000004">
      <c r="A298" s="71">
        <v>646</v>
      </c>
      <c r="C298" s="75">
        <v>15.27</v>
      </c>
      <c r="D298" s="75"/>
      <c r="F298" s="71">
        <v>380</v>
      </c>
      <c r="H298" s="72">
        <v>23.38</v>
      </c>
      <c r="I298" s="71" t="s">
        <v>139</v>
      </c>
      <c r="K298" s="71">
        <v>316</v>
      </c>
      <c r="M298" s="72">
        <v>21.25</v>
      </c>
      <c r="N298" s="71" t="s">
        <v>1</v>
      </c>
      <c r="R298" s="71">
        <v>380</v>
      </c>
      <c r="T298" s="72">
        <v>23.38</v>
      </c>
      <c r="U298" s="71" t="s">
        <v>139</v>
      </c>
    </row>
    <row r="299" spans="1:21" x14ac:dyDescent="0.55000000000000004">
      <c r="A299" s="71">
        <v>164</v>
      </c>
      <c r="C299" s="73">
        <v>15.3</v>
      </c>
      <c r="F299" s="71">
        <v>380</v>
      </c>
      <c r="H299" s="72">
        <v>23.38</v>
      </c>
      <c r="I299" s="71" t="s">
        <v>139</v>
      </c>
      <c r="K299" s="71">
        <v>555</v>
      </c>
      <c r="M299" s="72">
        <v>21.25</v>
      </c>
      <c r="N299" s="71" t="s">
        <v>1</v>
      </c>
      <c r="R299" s="71">
        <v>380</v>
      </c>
      <c r="T299" s="72">
        <v>23.38</v>
      </c>
      <c r="U299" s="71" t="s">
        <v>139</v>
      </c>
    </row>
    <row r="300" spans="1:21" x14ac:dyDescent="0.55000000000000004">
      <c r="A300" s="71">
        <v>572</v>
      </c>
      <c r="C300" s="73">
        <v>15.3</v>
      </c>
      <c r="D300" s="73">
        <v>19.170000000000002</v>
      </c>
      <c r="F300" s="71">
        <v>380</v>
      </c>
      <c r="H300" s="72">
        <v>23.38</v>
      </c>
      <c r="I300" s="71" t="s">
        <v>139</v>
      </c>
      <c r="K300" s="71">
        <v>336</v>
      </c>
      <c r="M300" s="72">
        <v>21.25</v>
      </c>
      <c r="N300" s="71" t="s">
        <v>1</v>
      </c>
      <c r="R300" s="71">
        <v>380</v>
      </c>
      <c r="T300" s="72">
        <v>23.38</v>
      </c>
      <c r="U300" s="71" t="s">
        <v>139</v>
      </c>
    </row>
    <row r="301" spans="1:21" x14ac:dyDescent="0.55000000000000004">
      <c r="A301" s="71">
        <v>777</v>
      </c>
      <c r="C301" s="73">
        <v>15.3</v>
      </c>
      <c r="D301" s="73">
        <v>24.72</v>
      </c>
      <c r="F301" s="71">
        <v>380</v>
      </c>
      <c r="H301" s="72">
        <v>23.38</v>
      </c>
      <c r="I301" s="71" t="s">
        <v>139</v>
      </c>
      <c r="K301" s="71">
        <v>336</v>
      </c>
      <c r="M301" s="72">
        <v>21.25</v>
      </c>
      <c r="N301" s="71" t="s">
        <v>1</v>
      </c>
      <c r="R301" s="71">
        <v>380</v>
      </c>
      <c r="T301" s="72">
        <v>23.38</v>
      </c>
      <c r="U301" s="71" t="s">
        <v>139</v>
      </c>
    </row>
    <row r="302" spans="1:21" x14ac:dyDescent="0.55000000000000004">
      <c r="A302" s="71">
        <v>824</v>
      </c>
      <c r="C302" s="73">
        <v>15.31</v>
      </c>
      <c r="D302" s="73">
        <v>24.72</v>
      </c>
      <c r="F302" s="71">
        <v>380</v>
      </c>
      <c r="H302" s="72">
        <v>23.38</v>
      </c>
      <c r="I302" s="71" t="s">
        <v>139</v>
      </c>
      <c r="K302" s="71">
        <v>824</v>
      </c>
      <c r="M302" s="72">
        <v>21.3</v>
      </c>
      <c r="N302" s="71" t="s">
        <v>1</v>
      </c>
      <c r="R302" s="71">
        <v>380</v>
      </c>
      <c r="T302" s="72">
        <v>23.38</v>
      </c>
      <c r="U302" s="71" t="s">
        <v>139</v>
      </c>
    </row>
    <row r="303" spans="1:21" x14ac:dyDescent="0.55000000000000004">
      <c r="A303" s="71">
        <v>824</v>
      </c>
      <c r="C303" s="73">
        <v>15.31</v>
      </c>
      <c r="D303" s="73">
        <v>24.72</v>
      </c>
      <c r="F303" s="71">
        <v>383</v>
      </c>
      <c r="H303" s="72">
        <v>18</v>
      </c>
      <c r="I303" s="71" t="s">
        <v>139</v>
      </c>
      <c r="K303" s="71">
        <v>142</v>
      </c>
      <c r="M303" s="72">
        <v>21.351199999999999</v>
      </c>
      <c r="N303" s="71" t="s">
        <v>1</v>
      </c>
      <c r="R303" s="71">
        <v>383</v>
      </c>
      <c r="T303" s="72">
        <v>18</v>
      </c>
      <c r="U303" s="71" t="s">
        <v>139</v>
      </c>
    </row>
    <row r="304" spans="1:21" x14ac:dyDescent="0.55000000000000004">
      <c r="A304" s="71">
        <v>572</v>
      </c>
      <c r="C304" s="73">
        <v>15.35</v>
      </c>
      <c r="D304" s="73">
        <v>25.75</v>
      </c>
      <c r="F304" s="71">
        <v>383</v>
      </c>
      <c r="H304" s="72">
        <v>18</v>
      </c>
      <c r="I304" s="71" t="s">
        <v>139</v>
      </c>
      <c r="K304" s="71">
        <v>560</v>
      </c>
      <c r="M304" s="72">
        <v>21.38</v>
      </c>
      <c r="N304" s="71" t="s">
        <v>1</v>
      </c>
      <c r="R304" s="71">
        <v>383</v>
      </c>
      <c r="T304" s="72">
        <v>18</v>
      </c>
      <c r="U304" s="71" t="s">
        <v>139</v>
      </c>
    </row>
    <row r="305" spans="1:21" x14ac:dyDescent="0.55000000000000004">
      <c r="A305" s="71">
        <v>572</v>
      </c>
      <c r="C305" s="73">
        <v>15.35</v>
      </c>
      <c r="F305" s="71">
        <v>383</v>
      </c>
      <c r="H305" s="72">
        <v>18</v>
      </c>
      <c r="I305" s="71" t="s">
        <v>139</v>
      </c>
      <c r="K305" s="71">
        <v>826</v>
      </c>
      <c r="M305" s="72">
        <v>21.48</v>
      </c>
      <c r="N305" s="71" t="s">
        <v>1</v>
      </c>
      <c r="R305" s="71">
        <v>383</v>
      </c>
      <c r="T305" s="72">
        <v>18</v>
      </c>
      <c r="U305" s="71" t="s">
        <v>139</v>
      </c>
    </row>
    <row r="306" spans="1:21" x14ac:dyDescent="0.55000000000000004">
      <c r="A306" s="71">
        <v>572</v>
      </c>
      <c r="C306" s="73">
        <v>15.35</v>
      </c>
      <c r="F306" s="71">
        <v>383</v>
      </c>
      <c r="H306" s="72">
        <v>18</v>
      </c>
      <c r="I306" s="71" t="s">
        <v>139</v>
      </c>
      <c r="K306" s="71">
        <v>218</v>
      </c>
      <c r="M306" s="72">
        <v>21.5</v>
      </c>
      <c r="N306" s="71" t="s">
        <v>1</v>
      </c>
      <c r="R306" s="71">
        <v>383</v>
      </c>
      <c r="T306" s="72">
        <v>18</v>
      </c>
      <c r="U306" s="71" t="s">
        <v>139</v>
      </c>
    </row>
    <row r="307" spans="1:21" x14ac:dyDescent="0.55000000000000004">
      <c r="A307" s="71">
        <v>560</v>
      </c>
      <c r="C307" s="73">
        <v>15.35</v>
      </c>
      <c r="F307" s="71">
        <v>383</v>
      </c>
      <c r="H307" s="72">
        <v>18</v>
      </c>
      <c r="I307" s="71" t="s">
        <v>139</v>
      </c>
      <c r="K307" s="71">
        <v>383</v>
      </c>
      <c r="M307" s="72">
        <v>21.5</v>
      </c>
      <c r="N307" s="71" t="s">
        <v>1</v>
      </c>
      <c r="R307" s="71">
        <v>383</v>
      </c>
      <c r="T307" s="72">
        <v>18</v>
      </c>
      <c r="U307" s="71" t="s">
        <v>139</v>
      </c>
    </row>
    <row r="308" spans="1:21" x14ac:dyDescent="0.55000000000000004">
      <c r="A308" s="71">
        <v>701</v>
      </c>
      <c r="C308" s="73">
        <v>15.35</v>
      </c>
      <c r="F308" s="71">
        <v>383</v>
      </c>
      <c r="H308" s="72">
        <v>18</v>
      </c>
      <c r="I308" s="71" t="s">
        <v>139</v>
      </c>
      <c r="K308" s="71">
        <v>712</v>
      </c>
      <c r="M308" s="72">
        <v>21.52</v>
      </c>
      <c r="N308" s="71" t="s">
        <v>1</v>
      </c>
      <c r="R308" s="71">
        <v>383</v>
      </c>
      <c r="T308" s="72">
        <v>18</v>
      </c>
      <c r="U308" s="71" t="s">
        <v>139</v>
      </c>
    </row>
    <row r="309" spans="1:21" x14ac:dyDescent="0.55000000000000004">
      <c r="A309" s="71">
        <v>421</v>
      </c>
      <c r="C309" s="73">
        <v>15.37</v>
      </c>
      <c r="F309" s="71">
        <v>383</v>
      </c>
      <c r="H309" s="72">
        <v>18</v>
      </c>
      <c r="I309" s="71" t="s">
        <v>139</v>
      </c>
      <c r="K309" s="71">
        <v>636</v>
      </c>
      <c r="M309" s="72">
        <v>21.53</v>
      </c>
      <c r="N309" s="71" t="s">
        <v>1</v>
      </c>
      <c r="R309" s="71">
        <v>383</v>
      </c>
      <c r="T309" s="72">
        <v>18</v>
      </c>
      <c r="U309" s="71" t="s">
        <v>139</v>
      </c>
    </row>
    <row r="310" spans="1:21" x14ac:dyDescent="0.55000000000000004">
      <c r="A310" s="71">
        <v>203</v>
      </c>
      <c r="C310" s="73">
        <v>15.38</v>
      </c>
      <c r="F310" s="71">
        <v>383</v>
      </c>
      <c r="H310" s="72">
        <v>18.5</v>
      </c>
      <c r="I310" s="71" t="s">
        <v>139</v>
      </c>
      <c r="K310" s="71">
        <v>143</v>
      </c>
      <c r="M310" s="72">
        <v>21.54</v>
      </c>
      <c r="N310" s="71" t="s">
        <v>1</v>
      </c>
      <c r="R310" s="71">
        <v>383</v>
      </c>
      <c r="T310" s="72">
        <v>18.5</v>
      </c>
      <c r="U310" s="71" t="s">
        <v>139</v>
      </c>
    </row>
    <row r="311" spans="1:21" x14ac:dyDescent="0.55000000000000004">
      <c r="A311" s="71">
        <v>203</v>
      </c>
      <c r="C311" s="73">
        <v>15.38</v>
      </c>
      <c r="F311" s="71">
        <v>383</v>
      </c>
      <c r="H311" s="72">
        <v>19</v>
      </c>
      <c r="I311" s="71" t="s">
        <v>139</v>
      </c>
      <c r="K311" s="71">
        <v>277</v>
      </c>
      <c r="M311" s="72">
        <v>21.556000000000001</v>
      </c>
      <c r="N311" s="71" t="s">
        <v>1</v>
      </c>
      <c r="R311" s="71">
        <v>383</v>
      </c>
      <c r="T311" s="72">
        <v>19</v>
      </c>
      <c r="U311" s="71" t="s">
        <v>139</v>
      </c>
    </row>
    <row r="312" spans="1:21" x14ac:dyDescent="0.55000000000000004">
      <c r="A312" s="71">
        <v>901</v>
      </c>
      <c r="C312" s="73">
        <v>15.38</v>
      </c>
      <c r="F312" s="71">
        <v>385</v>
      </c>
      <c r="H312" s="72">
        <v>15</v>
      </c>
      <c r="I312" s="71" t="s">
        <v>139</v>
      </c>
      <c r="K312" s="71">
        <v>528</v>
      </c>
      <c r="M312" s="72">
        <v>21.59</v>
      </c>
      <c r="N312" s="71" t="s">
        <v>1</v>
      </c>
      <c r="R312" s="71">
        <v>385</v>
      </c>
      <c r="T312" s="72">
        <v>15</v>
      </c>
      <c r="U312" s="71" t="s">
        <v>139</v>
      </c>
    </row>
    <row r="313" spans="1:21" x14ac:dyDescent="0.55000000000000004">
      <c r="A313" s="71">
        <v>910</v>
      </c>
      <c r="C313" s="73">
        <v>15.38032404808459</v>
      </c>
      <c r="D313" s="73">
        <v>20.8</v>
      </c>
      <c r="F313" s="71">
        <v>385</v>
      </c>
      <c r="H313" s="72">
        <v>15</v>
      </c>
      <c r="I313" s="71" t="s">
        <v>139</v>
      </c>
      <c r="K313" s="71">
        <v>156</v>
      </c>
      <c r="M313" s="72">
        <v>21.65</v>
      </c>
      <c r="N313" s="71" t="s">
        <v>1</v>
      </c>
      <c r="R313" s="71">
        <v>385</v>
      </c>
      <c r="T313" s="72">
        <v>15</v>
      </c>
      <c r="U313" s="71" t="s">
        <v>139</v>
      </c>
    </row>
    <row r="314" spans="1:21" x14ac:dyDescent="0.55000000000000004">
      <c r="A314" s="71">
        <v>203</v>
      </c>
      <c r="C314" s="73">
        <v>15.4</v>
      </c>
      <c r="D314" s="73">
        <v>22.55</v>
      </c>
      <c r="F314" s="71">
        <v>385</v>
      </c>
      <c r="H314" s="72">
        <v>15</v>
      </c>
      <c r="I314" s="71" t="s">
        <v>139</v>
      </c>
      <c r="K314" s="71">
        <v>288</v>
      </c>
      <c r="M314" s="72">
        <v>21.67</v>
      </c>
      <c r="N314" s="71" t="s">
        <v>1</v>
      </c>
      <c r="R314" s="71">
        <v>385</v>
      </c>
      <c r="T314" s="72">
        <v>15</v>
      </c>
      <c r="U314" s="71" t="s">
        <v>139</v>
      </c>
    </row>
    <row r="315" spans="1:21" x14ac:dyDescent="0.55000000000000004">
      <c r="A315" s="71">
        <v>203</v>
      </c>
      <c r="C315" s="73">
        <v>15.4</v>
      </c>
      <c r="D315" s="73">
        <v>24.4</v>
      </c>
      <c r="F315" s="71">
        <v>385</v>
      </c>
      <c r="H315" s="72">
        <v>15.45</v>
      </c>
      <c r="I315" s="71" t="s">
        <v>139</v>
      </c>
      <c r="K315" s="71">
        <v>288</v>
      </c>
      <c r="M315" s="72">
        <v>21.67</v>
      </c>
      <c r="N315" s="71" t="s">
        <v>1</v>
      </c>
      <c r="R315" s="71">
        <v>385</v>
      </c>
      <c r="T315" s="72">
        <v>15.45</v>
      </c>
      <c r="U315" s="71" t="s">
        <v>139</v>
      </c>
    </row>
    <row r="316" spans="1:21" x14ac:dyDescent="0.55000000000000004">
      <c r="A316" s="71">
        <v>540</v>
      </c>
      <c r="C316" s="73">
        <v>15.4</v>
      </c>
      <c r="F316" s="71">
        <v>385</v>
      </c>
      <c r="H316" s="72">
        <v>15.45</v>
      </c>
      <c r="I316" s="71" t="s">
        <v>139</v>
      </c>
      <c r="K316" s="71">
        <v>852</v>
      </c>
      <c r="M316" s="72">
        <v>21.75</v>
      </c>
      <c r="N316" s="71" t="s">
        <v>1</v>
      </c>
      <c r="R316" s="71">
        <v>385</v>
      </c>
      <c r="T316" s="72">
        <v>15.45</v>
      </c>
      <c r="U316" s="71" t="s">
        <v>139</v>
      </c>
    </row>
    <row r="317" spans="1:21" x14ac:dyDescent="0.55000000000000004">
      <c r="A317" s="71">
        <v>540</v>
      </c>
      <c r="C317" s="73">
        <v>15.4</v>
      </c>
      <c r="F317" s="71">
        <v>385</v>
      </c>
      <c r="H317" s="72">
        <v>15.45</v>
      </c>
      <c r="I317" s="71" t="s">
        <v>139</v>
      </c>
      <c r="K317" s="71">
        <v>824</v>
      </c>
      <c r="M317" s="72">
        <v>21.8</v>
      </c>
      <c r="N317" s="71" t="s">
        <v>1</v>
      </c>
      <c r="R317" s="71">
        <v>385</v>
      </c>
      <c r="T317" s="72">
        <v>15.45</v>
      </c>
      <c r="U317" s="71" t="s">
        <v>139</v>
      </c>
    </row>
    <row r="318" spans="1:21" x14ac:dyDescent="0.55000000000000004">
      <c r="A318" s="71">
        <v>540</v>
      </c>
      <c r="C318" s="73">
        <v>15.4</v>
      </c>
      <c r="F318" s="71">
        <v>385</v>
      </c>
      <c r="H318" s="72">
        <v>15.45</v>
      </c>
      <c r="I318" s="71" t="s">
        <v>139</v>
      </c>
      <c r="K318" s="71">
        <v>718</v>
      </c>
      <c r="M318" s="72">
        <v>21.86</v>
      </c>
      <c r="N318" s="71" t="s">
        <v>1</v>
      </c>
      <c r="R318" s="71">
        <v>385</v>
      </c>
      <c r="T318" s="72">
        <v>15.45</v>
      </c>
      <c r="U318" s="71" t="s">
        <v>139</v>
      </c>
    </row>
    <row r="319" spans="1:21" x14ac:dyDescent="0.55000000000000004">
      <c r="A319" s="71">
        <v>540</v>
      </c>
      <c r="C319" s="73">
        <v>15.4</v>
      </c>
      <c r="F319" s="71">
        <v>385</v>
      </c>
      <c r="H319" s="72">
        <v>16.28</v>
      </c>
      <c r="I319" s="71" t="s">
        <v>139</v>
      </c>
      <c r="K319" s="71">
        <v>540</v>
      </c>
      <c r="M319" s="72">
        <v>21.92</v>
      </c>
      <c r="N319" s="71" t="s">
        <v>1</v>
      </c>
      <c r="R319" s="71">
        <v>385</v>
      </c>
      <c r="T319" s="72">
        <v>16.28</v>
      </c>
      <c r="U319" s="71" t="s">
        <v>139</v>
      </c>
    </row>
    <row r="320" spans="1:21" x14ac:dyDescent="0.55000000000000004">
      <c r="A320" s="71">
        <v>540</v>
      </c>
      <c r="C320" s="73">
        <v>15.4</v>
      </c>
      <c r="F320" s="71">
        <v>385</v>
      </c>
      <c r="H320" s="72">
        <v>17.28</v>
      </c>
      <c r="I320" s="71" t="s">
        <v>139</v>
      </c>
      <c r="K320" s="71">
        <v>540</v>
      </c>
      <c r="M320" s="72">
        <v>21.92</v>
      </c>
      <c r="N320" s="71" t="s">
        <v>1</v>
      </c>
      <c r="R320" s="71">
        <v>385</v>
      </c>
      <c r="T320" s="72">
        <v>17.28</v>
      </c>
      <c r="U320" s="71" t="s">
        <v>139</v>
      </c>
    </row>
    <row r="321" spans="1:21" x14ac:dyDescent="0.55000000000000004">
      <c r="A321" s="71">
        <v>540</v>
      </c>
      <c r="C321" s="73">
        <v>15.4</v>
      </c>
      <c r="F321" s="71">
        <v>420</v>
      </c>
      <c r="H321" s="72">
        <v>14</v>
      </c>
      <c r="I321" s="71" t="s">
        <v>139</v>
      </c>
      <c r="K321" s="71">
        <v>540</v>
      </c>
      <c r="M321" s="72">
        <v>21.92</v>
      </c>
      <c r="N321" s="71" t="s">
        <v>1</v>
      </c>
      <c r="R321" s="71">
        <v>420</v>
      </c>
      <c r="T321" s="72">
        <v>14</v>
      </c>
      <c r="U321" s="71" t="s">
        <v>139</v>
      </c>
    </row>
    <row r="322" spans="1:21" x14ac:dyDescent="0.55000000000000004">
      <c r="A322" s="71">
        <v>540</v>
      </c>
      <c r="C322" s="73">
        <v>15.4</v>
      </c>
      <c r="F322" s="71">
        <v>420</v>
      </c>
      <c r="H322" s="72">
        <v>16.5</v>
      </c>
      <c r="I322" s="71" t="s">
        <v>139</v>
      </c>
      <c r="K322" s="71">
        <v>883</v>
      </c>
      <c r="M322" s="72">
        <v>22</v>
      </c>
      <c r="N322" s="71" t="s">
        <v>1</v>
      </c>
      <c r="R322" s="71">
        <v>420</v>
      </c>
      <c r="T322" s="72">
        <v>16.5</v>
      </c>
      <c r="U322" s="71" t="s">
        <v>139</v>
      </c>
    </row>
    <row r="323" spans="1:21" x14ac:dyDescent="0.55000000000000004">
      <c r="A323" s="71">
        <v>540</v>
      </c>
      <c r="C323" s="73">
        <v>15.4</v>
      </c>
      <c r="F323" s="71">
        <v>420</v>
      </c>
      <c r="H323" s="72">
        <v>18.25</v>
      </c>
      <c r="I323" s="71" t="s">
        <v>139</v>
      </c>
      <c r="K323" s="71">
        <v>883</v>
      </c>
      <c r="M323" s="72">
        <v>22</v>
      </c>
      <c r="N323" s="71" t="s">
        <v>1</v>
      </c>
      <c r="R323" s="71">
        <v>420</v>
      </c>
      <c r="T323" s="72">
        <v>18.25</v>
      </c>
      <c r="U323" s="71" t="s">
        <v>139</v>
      </c>
    </row>
    <row r="324" spans="1:21" x14ac:dyDescent="0.55000000000000004">
      <c r="A324" s="71">
        <v>540</v>
      </c>
      <c r="C324" s="73">
        <v>15.4</v>
      </c>
      <c r="F324" s="71">
        <v>421</v>
      </c>
      <c r="H324" s="72">
        <v>14.06</v>
      </c>
      <c r="I324" s="71" t="s">
        <v>139</v>
      </c>
      <c r="K324" s="71">
        <v>563</v>
      </c>
      <c r="M324" s="72">
        <v>22</v>
      </c>
      <c r="N324" s="71" t="s">
        <v>1</v>
      </c>
      <c r="R324" s="71">
        <v>421</v>
      </c>
      <c r="T324" s="72">
        <v>14.06</v>
      </c>
      <c r="U324" s="71" t="s">
        <v>139</v>
      </c>
    </row>
    <row r="325" spans="1:21" x14ac:dyDescent="0.55000000000000004">
      <c r="A325" s="71">
        <v>951</v>
      </c>
      <c r="C325" s="73">
        <v>15.45</v>
      </c>
      <c r="F325" s="71">
        <v>421</v>
      </c>
      <c r="H325" s="72">
        <v>14.06</v>
      </c>
      <c r="I325" s="71" t="s">
        <v>139</v>
      </c>
      <c r="K325" s="71">
        <v>318</v>
      </c>
      <c r="M325" s="72">
        <v>22</v>
      </c>
      <c r="N325" s="71" t="s">
        <v>1</v>
      </c>
      <c r="R325" s="71">
        <v>421</v>
      </c>
      <c r="T325" s="72">
        <v>14.06</v>
      </c>
      <c r="U325" s="71" t="s">
        <v>139</v>
      </c>
    </row>
    <row r="326" spans="1:21" x14ac:dyDescent="0.55000000000000004">
      <c r="A326" s="71">
        <v>951</v>
      </c>
      <c r="C326" s="73">
        <v>15.45</v>
      </c>
      <c r="F326" s="71">
        <v>421</v>
      </c>
      <c r="H326" s="72">
        <v>14.48</v>
      </c>
      <c r="I326" s="71" t="s">
        <v>139</v>
      </c>
      <c r="K326" s="71">
        <v>575</v>
      </c>
      <c r="M326" s="72">
        <v>22.01</v>
      </c>
      <c r="N326" s="71" t="s">
        <v>1</v>
      </c>
      <c r="R326" s="71">
        <v>421</v>
      </c>
      <c r="T326" s="72">
        <v>14.48</v>
      </c>
      <c r="U326" s="71" t="s">
        <v>139</v>
      </c>
    </row>
    <row r="327" spans="1:21" x14ac:dyDescent="0.55000000000000004">
      <c r="A327" s="71">
        <v>951</v>
      </c>
      <c r="C327" s="73">
        <v>15.45</v>
      </c>
      <c r="F327" s="71">
        <v>421</v>
      </c>
      <c r="H327" s="72">
        <v>14.48</v>
      </c>
      <c r="I327" s="71" t="s">
        <v>139</v>
      </c>
      <c r="K327" s="71">
        <v>560</v>
      </c>
      <c r="M327" s="72">
        <v>22.04</v>
      </c>
      <c r="N327" s="71" t="s">
        <v>1</v>
      </c>
      <c r="R327" s="71">
        <v>421</v>
      </c>
      <c r="T327" s="72">
        <v>14.48</v>
      </c>
      <c r="U327" s="71" t="s">
        <v>139</v>
      </c>
    </row>
    <row r="328" spans="1:21" x14ac:dyDescent="0.55000000000000004">
      <c r="A328" s="71">
        <v>951</v>
      </c>
      <c r="C328" s="73">
        <v>15.45</v>
      </c>
      <c r="F328" s="71">
        <v>421</v>
      </c>
      <c r="H328" s="72">
        <v>14.48</v>
      </c>
      <c r="I328" s="71" t="s">
        <v>139</v>
      </c>
      <c r="K328" s="71">
        <v>313</v>
      </c>
      <c r="M328" s="72">
        <v>22.15</v>
      </c>
      <c r="N328" s="71" t="s">
        <v>1</v>
      </c>
      <c r="R328" s="71">
        <v>421</v>
      </c>
      <c r="T328" s="72">
        <v>14.48</v>
      </c>
      <c r="U328" s="71" t="s">
        <v>139</v>
      </c>
    </row>
    <row r="329" spans="1:21" x14ac:dyDescent="0.55000000000000004">
      <c r="A329" s="71">
        <v>385</v>
      </c>
      <c r="C329" s="74">
        <v>15.45</v>
      </c>
      <c r="D329" s="74">
        <v>20</v>
      </c>
      <c r="F329" s="71">
        <v>421</v>
      </c>
      <c r="H329" s="72">
        <v>14.48</v>
      </c>
      <c r="I329" s="71" t="s">
        <v>139</v>
      </c>
      <c r="K329" s="71">
        <v>642</v>
      </c>
      <c r="M329" s="72">
        <v>22.18</v>
      </c>
      <c r="N329" s="71" t="s">
        <v>1</v>
      </c>
      <c r="R329" s="71">
        <v>421</v>
      </c>
      <c r="T329" s="72">
        <v>14.48</v>
      </c>
      <c r="U329" s="71" t="s">
        <v>139</v>
      </c>
    </row>
    <row r="330" spans="1:21" x14ac:dyDescent="0.55000000000000004">
      <c r="A330" s="71">
        <v>385</v>
      </c>
      <c r="C330" s="74">
        <v>15.45</v>
      </c>
      <c r="D330" s="74">
        <v>19.25</v>
      </c>
      <c r="F330" s="71">
        <v>421</v>
      </c>
      <c r="H330" s="72">
        <v>15.37</v>
      </c>
      <c r="I330" s="71" t="s">
        <v>139</v>
      </c>
      <c r="K330" s="71">
        <v>926</v>
      </c>
      <c r="M330" s="72">
        <v>22.22</v>
      </c>
      <c r="N330" s="71" t="s">
        <v>1</v>
      </c>
      <c r="R330" s="71">
        <v>421</v>
      </c>
      <c r="T330" s="72">
        <v>15.37</v>
      </c>
      <c r="U330" s="71" t="s">
        <v>139</v>
      </c>
    </row>
    <row r="331" spans="1:21" x14ac:dyDescent="0.55000000000000004">
      <c r="A331" s="71">
        <v>385</v>
      </c>
      <c r="C331" s="74">
        <v>15.45</v>
      </c>
      <c r="D331" s="74">
        <v>16.5</v>
      </c>
      <c r="F331" s="71">
        <v>421</v>
      </c>
      <c r="H331" s="72">
        <v>16.32</v>
      </c>
      <c r="I331" s="71" t="s">
        <v>139</v>
      </c>
      <c r="K331" s="71">
        <v>883</v>
      </c>
      <c r="M331" s="72">
        <v>22.23</v>
      </c>
      <c r="N331" s="71" t="s">
        <v>1</v>
      </c>
      <c r="R331" s="71">
        <v>421</v>
      </c>
      <c r="T331" s="72">
        <v>16.32</v>
      </c>
      <c r="U331" s="71" t="s">
        <v>139</v>
      </c>
    </row>
    <row r="332" spans="1:21" x14ac:dyDescent="0.55000000000000004">
      <c r="A332" s="71">
        <v>385</v>
      </c>
      <c r="C332" s="74">
        <v>15.45</v>
      </c>
      <c r="D332" s="74"/>
      <c r="F332" s="71">
        <v>421</v>
      </c>
      <c r="H332" s="72">
        <v>16.32</v>
      </c>
      <c r="I332" s="71" t="s">
        <v>139</v>
      </c>
      <c r="K332" s="71">
        <v>575</v>
      </c>
      <c r="M332" s="72">
        <v>22.29</v>
      </c>
      <c r="N332" s="71" t="s">
        <v>1</v>
      </c>
      <c r="R332" s="71">
        <v>421</v>
      </c>
      <c r="T332" s="72">
        <v>16.32</v>
      </c>
      <c r="U332" s="71" t="s">
        <v>139</v>
      </c>
    </row>
    <row r="333" spans="1:21" x14ac:dyDescent="0.55000000000000004">
      <c r="A333" s="71">
        <v>984</v>
      </c>
      <c r="C333" s="73">
        <v>15.45</v>
      </c>
      <c r="F333" s="71">
        <v>423</v>
      </c>
      <c r="H333" s="72">
        <v>14</v>
      </c>
      <c r="I333" s="71" t="s">
        <v>139</v>
      </c>
      <c r="K333" s="71">
        <v>718</v>
      </c>
      <c r="M333" s="72">
        <v>22.42</v>
      </c>
      <c r="N333" s="71" t="s">
        <v>1</v>
      </c>
      <c r="R333" s="71">
        <v>423</v>
      </c>
      <c r="T333" s="72">
        <v>14</v>
      </c>
      <c r="U333" s="71" t="s">
        <v>139</v>
      </c>
    </row>
    <row r="334" spans="1:21" x14ac:dyDescent="0.55000000000000004">
      <c r="A334" s="71">
        <v>984</v>
      </c>
      <c r="C334" s="73">
        <v>15.45</v>
      </c>
      <c r="F334" s="71">
        <v>423</v>
      </c>
      <c r="H334" s="72">
        <v>14</v>
      </c>
      <c r="I334" s="71" t="s">
        <v>139</v>
      </c>
      <c r="K334" s="71">
        <v>712</v>
      </c>
      <c r="M334" s="72">
        <v>22.46</v>
      </c>
      <c r="N334" s="71" t="s">
        <v>1</v>
      </c>
      <c r="R334" s="71">
        <v>423</v>
      </c>
      <c r="T334" s="72">
        <v>14</v>
      </c>
      <c r="U334" s="71" t="s">
        <v>139</v>
      </c>
    </row>
    <row r="335" spans="1:21" x14ac:dyDescent="0.55000000000000004">
      <c r="A335" s="71">
        <v>984</v>
      </c>
      <c r="C335" s="73">
        <v>15.45</v>
      </c>
      <c r="D335" s="73">
        <v>17</v>
      </c>
      <c r="F335" s="71">
        <v>423</v>
      </c>
      <c r="H335" s="72">
        <v>14</v>
      </c>
      <c r="I335" s="71" t="s">
        <v>139</v>
      </c>
      <c r="K335" s="71">
        <v>712</v>
      </c>
      <c r="M335" s="72">
        <v>22.46</v>
      </c>
      <c r="N335" s="71" t="s">
        <v>1</v>
      </c>
      <c r="R335" s="71">
        <v>423</v>
      </c>
      <c r="T335" s="72">
        <v>14</v>
      </c>
      <c r="U335" s="71" t="s">
        <v>139</v>
      </c>
    </row>
    <row r="336" spans="1:21" x14ac:dyDescent="0.55000000000000004">
      <c r="A336" s="71">
        <v>984</v>
      </c>
      <c r="C336" s="73">
        <v>15.45</v>
      </c>
      <c r="D336" s="73">
        <v>17</v>
      </c>
      <c r="F336" s="71">
        <v>423</v>
      </c>
      <c r="H336" s="72">
        <v>14</v>
      </c>
      <c r="I336" s="71" t="s">
        <v>139</v>
      </c>
      <c r="K336" s="71">
        <v>712</v>
      </c>
      <c r="M336" s="72">
        <v>22.46</v>
      </c>
      <c r="N336" s="71" t="s">
        <v>1</v>
      </c>
      <c r="R336" s="71">
        <v>423</v>
      </c>
      <c r="T336" s="72">
        <v>14</v>
      </c>
      <c r="U336" s="71" t="s">
        <v>139</v>
      </c>
    </row>
    <row r="337" spans="1:21" x14ac:dyDescent="0.55000000000000004">
      <c r="A337" s="71">
        <v>984</v>
      </c>
      <c r="C337" s="73">
        <v>15.45</v>
      </c>
      <c r="D337" s="73">
        <v>17.5</v>
      </c>
      <c r="F337" s="71">
        <v>423</v>
      </c>
      <c r="H337" s="72">
        <v>15.5</v>
      </c>
      <c r="I337" s="71" t="s">
        <v>139</v>
      </c>
      <c r="K337" s="71">
        <v>712</v>
      </c>
      <c r="M337" s="72">
        <v>22.46</v>
      </c>
      <c r="N337" s="71" t="s">
        <v>1</v>
      </c>
      <c r="R337" s="71">
        <v>423</v>
      </c>
      <c r="T337" s="72">
        <v>15.5</v>
      </c>
      <c r="U337" s="71" t="s">
        <v>139</v>
      </c>
    </row>
    <row r="338" spans="1:21" x14ac:dyDescent="0.55000000000000004">
      <c r="A338" s="71">
        <v>984</v>
      </c>
      <c r="C338" s="73">
        <v>15.45</v>
      </c>
      <c r="D338" s="73">
        <v>18</v>
      </c>
      <c r="F338" s="71">
        <v>423</v>
      </c>
      <c r="H338" s="72">
        <v>15.5</v>
      </c>
      <c r="I338" s="71" t="s">
        <v>139</v>
      </c>
      <c r="K338" s="71">
        <v>584</v>
      </c>
      <c r="M338" s="72">
        <v>22.47</v>
      </c>
      <c r="N338" s="71" t="s">
        <v>1</v>
      </c>
      <c r="R338" s="71">
        <v>423</v>
      </c>
      <c r="T338" s="72">
        <v>15.5</v>
      </c>
      <c r="U338" s="71" t="s">
        <v>139</v>
      </c>
    </row>
    <row r="339" spans="1:21" x14ac:dyDescent="0.55000000000000004">
      <c r="A339" s="71">
        <v>984</v>
      </c>
      <c r="C339" s="73">
        <v>15.45</v>
      </c>
      <c r="D339" s="73">
        <v>18.75</v>
      </c>
      <c r="F339" s="71">
        <v>452</v>
      </c>
      <c r="H339" s="72">
        <v>15.5</v>
      </c>
      <c r="I339" s="71" t="s">
        <v>139</v>
      </c>
      <c r="K339" s="71">
        <v>642</v>
      </c>
      <c r="M339" s="72">
        <v>22.5</v>
      </c>
      <c r="N339" s="71" t="s">
        <v>1</v>
      </c>
      <c r="R339" s="71">
        <v>452</v>
      </c>
      <c r="T339" s="72">
        <v>15.5</v>
      </c>
      <c r="U339" s="71" t="s">
        <v>139</v>
      </c>
    </row>
    <row r="340" spans="1:21" x14ac:dyDescent="0.55000000000000004">
      <c r="A340" s="71">
        <v>984</v>
      </c>
      <c r="C340" s="73">
        <v>15.45</v>
      </c>
      <c r="F340" s="71">
        <v>452</v>
      </c>
      <c r="H340" s="72">
        <v>15.5</v>
      </c>
      <c r="I340" s="71" t="s">
        <v>139</v>
      </c>
      <c r="K340" s="71">
        <v>318</v>
      </c>
      <c r="M340" s="72">
        <v>22.5</v>
      </c>
      <c r="N340" s="71" t="s">
        <v>1</v>
      </c>
      <c r="R340" s="71">
        <v>452</v>
      </c>
      <c r="T340" s="72">
        <v>15.5</v>
      </c>
      <c r="U340" s="71" t="s">
        <v>139</v>
      </c>
    </row>
    <row r="341" spans="1:21" x14ac:dyDescent="0.55000000000000004">
      <c r="A341" s="71">
        <v>984</v>
      </c>
      <c r="C341" s="73">
        <v>15.45</v>
      </c>
      <c r="F341" s="71">
        <v>452</v>
      </c>
      <c r="H341" s="72">
        <v>16.13</v>
      </c>
      <c r="I341" s="71" t="s">
        <v>139</v>
      </c>
      <c r="K341" s="71">
        <v>380</v>
      </c>
      <c r="M341" s="72">
        <v>22.51</v>
      </c>
      <c r="N341" s="71" t="s">
        <v>1</v>
      </c>
      <c r="R341" s="71">
        <v>452</v>
      </c>
      <c r="T341" s="72">
        <v>16.13</v>
      </c>
      <c r="U341" s="71" t="s">
        <v>139</v>
      </c>
    </row>
    <row r="342" spans="1:21" x14ac:dyDescent="0.55000000000000004">
      <c r="A342" s="71">
        <v>984</v>
      </c>
      <c r="C342" s="73">
        <v>15.45</v>
      </c>
      <c r="F342" s="71">
        <v>452</v>
      </c>
      <c r="H342" s="72">
        <v>16.45</v>
      </c>
      <c r="I342" s="71" t="s">
        <v>139</v>
      </c>
      <c r="K342" s="71">
        <v>145</v>
      </c>
      <c r="M342" s="72">
        <v>22.55</v>
      </c>
      <c r="N342" s="71" t="s">
        <v>1</v>
      </c>
      <c r="R342" s="71">
        <v>452</v>
      </c>
      <c r="T342" s="72">
        <v>16.45</v>
      </c>
      <c r="U342" s="71" t="s">
        <v>139</v>
      </c>
    </row>
    <row r="343" spans="1:21" x14ac:dyDescent="0.55000000000000004">
      <c r="A343" s="71">
        <v>984</v>
      </c>
      <c r="C343" s="73">
        <v>15.45</v>
      </c>
      <c r="F343" s="71">
        <v>452</v>
      </c>
      <c r="H343" s="72">
        <v>16.45</v>
      </c>
      <c r="I343" s="71" t="s">
        <v>139</v>
      </c>
      <c r="K343" s="71">
        <v>178</v>
      </c>
      <c r="M343" s="72">
        <v>22.65</v>
      </c>
      <c r="N343" s="71" t="s">
        <v>1</v>
      </c>
      <c r="R343" s="71">
        <v>452</v>
      </c>
      <c r="T343" s="72">
        <v>16.45</v>
      </c>
      <c r="U343" s="71" t="s">
        <v>139</v>
      </c>
    </row>
    <row r="344" spans="1:21" x14ac:dyDescent="0.55000000000000004">
      <c r="A344" s="71">
        <v>984</v>
      </c>
      <c r="C344" s="73">
        <v>15.45</v>
      </c>
      <c r="F344" s="71">
        <v>452</v>
      </c>
      <c r="H344" s="72">
        <v>16.78</v>
      </c>
      <c r="I344" s="71" t="s">
        <v>139</v>
      </c>
      <c r="K344" s="71">
        <v>824</v>
      </c>
      <c r="M344" s="72">
        <v>22.65</v>
      </c>
      <c r="N344" s="71" t="s">
        <v>1</v>
      </c>
      <c r="R344" s="71">
        <v>452</v>
      </c>
      <c r="T344" s="72">
        <v>16.78</v>
      </c>
      <c r="U344" s="71" t="s">
        <v>139</v>
      </c>
    </row>
    <row r="345" spans="1:21" x14ac:dyDescent="0.55000000000000004">
      <c r="A345" s="71">
        <v>984</v>
      </c>
      <c r="C345" s="73">
        <v>15.45</v>
      </c>
      <c r="D345" s="73">
        <v>17.9375</v>
      </c>
      <c r="F345" s="71">
        <v>452</v>
      </c>
      <c r="H345" s="72">
        <v>17.11</v>
      </c>
      <c r="I345" s="71" t="s">
        <v>139</v>
      </c>
      <c r="K345" s="71">
        <v>606</v>
      </c>
      <c r="M345" s="72">
        <v>22.78</v>
      </c>
      <c r="N345" s="71" t="s">
        <v>1</v>
      </c>
      <c r="R345" s="71">
        <v>452</v>
      </c>
      <c r="T345" s="72">
        <v>17.11</v>
      </c>
      <c r="U345" s="71" t="s">
        <v>139</v>
      </c>
    </row>
    <row r="346" spans="1:21" x14ac:dyDescent="0.55000000000000004">
      <c r="A346" s="71">
        <v>984</v>
      </c>
      <c r="C346" s="73">
        <v>15.45</v>
      </c>
      <c r="D346" s="73">
        <v>21.38</v>
      </c>
      <c r="F346" s="71">
        <v>452</v>
      </c>
      <c r="H346" s="72">
        <v>22.58</v>
      </c>
      <c r="I346" s="71" t="s">
        <v>139</v>
      </c>
      <c r="K346" s="71">
        <v>636</v>
      </c>
      <c r="M346" s="72">
        <v>22.83</v>
      </c>
      <c r="N346" s="71" t="s">
        <v>1</v>
      </c>
      <c r="R346" s="71">
        <v>452</v>
      </c>
      <c r="T346" s="72">
        <v>22.58</v>
      </c>
      <c r="U346" s="71" t="s">
        <v>139</v>
      </c>
    </row>
    <row r="347" spans="1:21" x14ac:dyDescent="0.55000000000000004">
      <c r="A347" s="71">
        <v>984</v>
      </c>
      <c r="C347" s="73">
        <v>15.45</v>
      </c>
      <c r="D347" s="73">
        <v>21.01</v>
      </c>
      <c r="F347" s="71">
        <v>479</v>
      </c>
      <c r="H347" s="72">
        <v>14.5</v>
      </c>
      <c r="I347" s="71" t="s">
        <v>139</v>
      </c>
      <c r="K347" s="71">
        <v>540</v>
      </c>
      <c r="M347" s="72">
        <v>22.96</v>
      </c>
      <c r="N347" s="71" t="s">
        <v>1</v>
      </c>
      <c r="R347" s="71">
        <v>479</v>
      </c>
      <c r="T347" s="72">
        <v>14.5</v>
      </c>
      <c r="U347" s="71" t="s">
        <v>139</v>
      </c>
    </row>
    <row r="348" spans="1:21" x14ac:dyDescent="0.55000000000000004">
      <c r="A348" s="71">
        <v>984</v>
      </c>
      <c r="C348" s="73">
        <v>15.45</v>
      </c>
      <c r="D348" s="73">
        <v>18.183499999999999</v>
      </c>
      <c r="F348" s="71">
        <v>479</v>
      </c>
      <c r="H348" s="72">
        <v>14.5</v>
      </c>
      <c r="I348" s="71" t="s">
        <v>139</v>
      </c>
      <c r="K348" s="71">
        <v>824</v>
      </c>
      <c r="M348" s="72">
        <v>22.98</v>
      </c>
      <c r="N348" s="71" t="s">
        <v>1</v>
      </c>
      <c r="R348" s="71">
        <v>479</v>
      </c>
      <c r="T348" s="72">
        <v>14.5</v>
      </c>
      <c r="U348" s="71" t="s">
        <v>139</v>
      </c>
    </row>
    <row r="349" spans="1:21" x14ac:dyDescent="0.55000000000000004">
      <c r="A349" s="71">
        <v>984</v>
      </c>
      <c r="C349" s="73">
        <v>15.45</v>
      </c>
      <c r="D349" s="73">
        <v>17</v>
      </c>
      <c r="F349" s="71">
        <v>479</v>
      </c>
      <c r="H349" s="72">
        <v>15</v>
      </c>
      <c r="I349" s="71" t="s">
        <v>139</v>
      </c>
      <c r="K349" s="71">
        <v>883</v>
      </c>
      <c r="M349" s="72">
        <v>23</v>
      </c>
      <c r="N349" s="71" t="s">
        <v>1</v>
      </c>
      <c r="R349" s="71">
        <v>479</v>
      </c>
      <c r="T349" s="72">
        <v>15</v>
      </c>
      <c r="U349" s="71" t="s">
        <v>139</v>
      </c>
    </row>
    <row r="350" spans="1:21" x14ac:dyDescent="0.55000000000000004">
      <c r="A350" s="71">
        <v>910</v>
      </c>
      <c r="C350" s="73">
        <v>15.467674847964718</v>
      </c>
      <c r="D350" s="73">
        <v>22.04</v>
      </c>
      <c r="F350" s="71">
        <v>479</v>
      </c>
      <c r="H350" s="72">
        <v>15</v>
      </c>
      <c r="I350" s="71" t="s">
        <v>139</v>
      </c>
      <c r="K350" s="71">
        <v>883</v>
      </c>
      <c r="M350" s="72">
        <v>23</v>
      </c>
      <c r="N350" s="71" t="s">
        <v>1</v>
      </c>
      <c r="R350" s="71">
        <v>479</v>
      </c>
      <c r="T350" s="72">
        <v>15</v>
      </c>
      <c r="U350" s="71" t="s">
        <v>139</v>
      </c>
    </row>
    <row r="351" spans="1:21" x14ac:dyDescent="0.55000000000000004">
      <c r="A351" s="71">
        <v>318</v>
      </c>
      <c r="C351" s="73">
        <v>15.47</v>
      </c>
      <c r="F351" s="71">
        <v>479</v>
      </c>
      <c r="H351" s="72">
        <v>15</v>
      </c>
      <c r="I351" s="71" t="s">
        <v>139</v>
      </c>
      <c r="K351" s="71">
        <v>910</v>
      </c>
      <c r="M351" s="72">
        <v>23</v>
      </c>
      <c r="N351" s="71" t="s">
        <v>1</v>
      </c>
      <c r="R351" s="71">
        <v>479</v>
      </c>
      <c r="T351" s="72">
        <v>15</v>
      </c>
      <c r="U351" s="71" t="s">
        <v>139</v>
      </c>
    </row>
    <row r="352" spans="1:21" x14ac:dyDescent="0.55000000000000004">
      <c r="A352" s="71">
        <v>212</v>
      </c>
      <c r="C352" s="73">
        <v>15.48</v>
      </c>
      <c r="F352" s="71">
        <v>479</v>
      </c>
      <c r="H352" s="72">
        <v>15</v>
      </c>
      <c r="I352" s="71" t="s">
        <v>139</v>
      </c>
      <c r="K352" s="71">
        <v>383</v>
      </c>
      <c r="M352" s="72">
        <v>23</v>
      </c>
      <c r="N352" s="71" t="s">
        <v>1</v>
      </c>
      <c r="R352" s="71">
        <v>479</v>
      </c>
      <c r="T352" s="72">
        <v>15</v>
      </c>
      <c r="U352" s="71" t="s">
        <v>139</v>
      </c>
    </row>
    <row r="353" spans="1:21" x14ac:dyDescent="0.55000000000000004">
      <c r="A353" s="71">
        <v>346</v>
      </c>
      <c r="C353" s="73">
        <v>15.5</v>
      </c>
      <c r="F353" s="71">
        <v>486</v>
      </c>
      <c r="H353" s="72">
        <v>16.239999999999998</v>
      </c>
      <c r="I353" s="71" t="s">
        <v>139</v>
      </c>
      <c r="K353" s="71">
        <v>506</v>
      </c>
      <c r="M353" s="72">
        <v>23.05</v>
      </c>
      <c r="N353" s="71" t="s">
        <v>1</v>
      </c>
      <c r="R353" s="71">
        <v>486</v>
      </c>
      <c r="T353" s="72">
        <v>16.239999999999998</v>
      </c>
      <c r="U353" s="71" t="s">
        <v>139</v>
      </c>
    </row>
    <row r="354" spans="1:21" x14ac:dyDescent="0.55000000000000004">
      <c r="A354" s="71">
        <v>423</v>
      </c>
      <c r="C354" s="73">
        <v>15.5</v>
      </c>
      <c r="F354" s="71">
        <v>486</v>
      </c>
      <c r="H354" s="72">
        <v>16.239999999999998</v>
      </c>
      <c r="I354" s="71" t="s">
        <v>139</v>
      </c>
      <c r="K354" s="71">
        <v>315</v>
      </c>
      <c r="M354" s="72">
        <v>23.05</v>
      </c>
      <c r="N354" s="71" t="s">
        <v>1</v>
      </c>
      <c r="R354" s="71">
        <v>486</v>
      </c>
      <c r="T354" s="72">
        <v>16.239999999999998</v>
      </c>
      <c r="U354" s="71" t="s">
        <v>139</v>
      </c>
    </row>
    <row r="355" spans="1:21" x14ac:dyDescent="0.55000000000000004">
      <c r="A355" s="71">
        <v>423</v>
      </c>
      <c r="C355" s="73">
        <v>15.5</v>
      </c>
      <c r="F355" s="71">
        <v>486</v>
      </c>
      <c r="H355" s="72">
        <v>16.25</v>
      </c>
      <c r="I355" s="71" t="s">
        <v>139</v>
      </c>
      <c r="K355" s="71">
        <v>926</v>
      </c>
      <c r="M355" s="72">
        <v>23.3</v>
      </c>
      <c r="N355" s="71" t="s">
        <v>1</v>
      </c>
      <c r="R355" s="71">
        <v>486</v>
      </c>
      <c r="T355" s="72">
        <v>16.25</v>
      </c>
      <c r="U355" s="71" t="s">
        <v>139</v>
      </c>
    </row>
    <row r="356" spans="1:21" x14ac:dyDescent="0.55000000000000004">
      <c r="A356" s="71">
        <v>170</v>
      </c>
      <c r="C356" s="73">
        <v>15.5</v>
      </c>
      <c r="F356" s="71">
        <v>486</v>
      </c>
      <c r="H356" s="72">
        <v>16.25</v>
      </c>
      <c r="I356" s="71" t="s">
        <v>139</v>
      </c>
      <c r="K356" s="71">
        <v>164</v>
      </c>
      <c r="M356" s="72">
        <v>23.34</v>
      </c>
      <c r="N356" s="71" t="s">
        <v>1</v>
      </c>
      <c r="R356" s="71">
        <v>486</v>
      </c>
      <c r="T356" s="72">
        <v>16.25</v>
      </c>
      <c r="U356" s="71" t="s">
        <v>139</v>
      </c>
    </row>
    <row r="357" spans="1:21" x14ac:dyDescent="0.55000000000000004">
      <c r="A357" s="71">
        <v>852</v>
      </c>
      <c r="C357" s="73">
        <v>15.5</v>
      </c>
      <c r="F357" s="71">
        <v>486</v>
      </c>
      <c r="H357" s="72">
        <v>16.25</v>
      </c>
      <c r="I357" s="71" t="s">
        <v>139</v>
      </c>
      <c r="K357" s="71">
        <v>164</v>
      </c>
      <c r="M357" s="72">
        <v>23.34</v>
      </c>
      <c r="N357" s="71" t="s">
        <v>1</v>
      </c>
      <c r="R357" s="71">
        <v>486</v>
      </c>
      <c r="T357" s="72">
        <v>16.25</v>
      </c>
      <c r="U357" s="71" t="s">
        <v>139</v>
      </c>
    </row>
    <row r="358" spans="1:21" x14ac:dyDescent="0.55000000000000004">
      <c r="A358" s="71">
        <v>452</v>
      </c>
      <c r="C358" s="73">
        <v>15.5</v>
      </c>
      <c r="F358" s="71">
        <v>486</v>
      </c>
      <c r="H358" s="72">
        <v>16.25</v>
      </c>
      <c r="I358" s="71" t="s">
        <v>139</v>
      </c>
      <c r="K358" s="71">
        <v>824</v>
      </c>
      <c r="M358" s="72">
        <v>23.37</v>
      </c>
      <c r="N358" s="71" t="s">
        <v>1</v>
      </c>
      <c r="R358" s="71">
        <v>486</v>
      </c>
      <c r="T358" s="72">
        <v>16.25</v>
      </c>
      <c r="U358" s="71" t="s">
        <v>139</v>
      </c>
    </row>
    <row r="359" spans="1:21" x14ac:dyDescent="0.55000000000000004">
      <c r="A359" s="71">
        <v>452</v>
      </c>
      <c r="C359" s="73">
        <v>15.5</v>
      </c>
      <c r="F359" s="71">
        <v>486</v>
      </c>
      <c r="H359" s="72">
        <v>16.25</v>
      </c>
      <c r="I359" s="71" t="s">
        <v>139</v>
      </c>
      <c r="K359" s="71">
        <v>824</v>
      </c>
      <c r="M359" s="72">
        <v>23.37</v>
      </c>
      <c r="N359" s="71" t="s">
        <v>1</v>
      </c>
      <c r="R359" s="71">
        <v>486</v>
      </c>
      <c r="T359" s="72">
        <v>16.25</v>
      </c>
      <c r="U359" s="71" t="s">
        <v>139</v>
      </c>
    </row>
    <row r="360" spans="1:21" x14ac:dyDescent="0.55000000000000004">
      <c r="A360" s="71">
        <v>606</v>
      </c>
      <c r="C360" s="73">
        <v>15.51</v>
      </c>
      <c r="F360" s="71">
        <v>486</v>
      </c>
      <c r="H360" s="72">
        <v>16.25</v>
      </c>
      <c r="I360" s="71" t="s">
        <v>139</v>
      </c>
      <c r="K360" s="71">
        <v>383</v>
      </c>
      <c r="M360" s="72">
        <v>23.47</v>
      </c>
      <c r="N360" s="71" t="s">
        <v>1</v>
      </c>
      <c r="R360" s="71">
        <v>486</v>
      </c>
      <c r="T360" s="72">
        <v>16.25</v>
      </c>
      <c r="U360" s="71" t="s">
        <v>139</v>
      </c>
    </row>
    <row r="361" spans="1:21" x14ac:dyDescent="0.55000000000000004">
      <c r="A361" s="71">
        <v>535</v>
      </c>
      <c r="C361" s="73">
        <v>15.57</v>
      </c>
      <c r="F361" s="71">
        <v>486</v>
      </c>
      <c r="H361" s="72">
        <v>16.25</v>
      </c>
      <c r="I361" s="71" t="s">
        <v>139</v>
      </c>
      <c r="K361" s="71">
        <v>540</v>
      </c>
      <c r="M361" s="72">
        <v>23.5</v>
      </c>
      <c r="N361" s="71" t="s">
        <v>1</v>
      </c>
      <c r="R361" s="71">
        <v>486</v>
      </c>
      <c r="T361" s="72">
        <v>16.25</v>
      </c>
      <c r="U361" s="71" t="s">
        <v>139</v>
      </c>
    </row>
    <row r="362" spans="1:21" x14ac:dyDescent="0.55000000000000004">
      <c r="A362" s="71">
        <v>535</v>
      </c>
      <c r="C362" s="73">
        <v>15.57</v>
      </c>
      <c r="F362" s="71">
        <v>486</v>
      </c>
      <c r="H362" s="72">
        <v>16.399999999999999</v>
      </c>
      <c r="I362" s="71" t="s">
        <v>139</v>
      </c>
      <c r="K362" s="71">
        <v>540</v>
      </c>
      <c r="M362" s="72">
        <v>23.5</v>
      </c>
      <c r="N362" s="71" t="s">
        <v>1</v>
      </c>
      <c r="R362" s="71">
        <v>486</v>
      </c>
      <c r="T362" s="72">
        <v>16.399999999999999</v>
      </c>
      <c r="U362" s="71" t="s">
        <v>139</v>
      </c>
    </row>
    <row r="363" spans="1:21" x14ac:dyDescent="0.55000000000000004">
      <c r="A363" s="71">
        <v>535</v>
      </c>
      <c r="C363" s="73">
        <v>15.57</v>
      </c>
      <c r="F363" s="71">
        <v>486</v>
      </c>
      <c r="H363" s="72">
        <v>16.48</v>
      </c>
      <c r="I363" s="71" t="s">
        <v>139</v>
      </c>
      <c r="K363" s="71">
        <v>540</v>
      </c>
      <c r="M363" s="72">
        <v>23.5</v>
      </c>
      <c r="N363" s="71" t="s">
        <v>1</v>
      </c>
      <c r="R363" s="71">
        <v>486</v>
      </c>
      <c r="T363" s="72">
        <v>16.48</v>
      </c>
      <c r="U363" s="71" t="s">
        <v>139</v>
      </c>
    </row>
    <row r="364" spans="1:21" x14ac:dyDescent="0.55000000000000004">
      <c r="A364" s="71">
        <v>535</v>
      </c>
      <c r="C364" s="73">
        <v>15.57</v>
      </c>
      <c r="F364" s="71">
        <v>486</v>
      </c>
      <c r="H364" s="72">
        <v>16.489999999999998</v>
      </c>
      <c r="I364" s="71" t="s">
        <v>139</v>
      </c>
      <c r="K364" s="71">
        <v>542</v>
      </c>
      <c r="M364" s="72">
        <v>23.57</v>
      </c>
      <c r="N364" s="71" t="s">
        <v>1</v>
      </c>
      <c r="R364" s="71">
        <v>486</v>
      </c>
      <c r="T364" s="72">
        <v>16.489999999999998</v>
      </c>
      <c r="U364" s="71" t="s">
        <v>139</v>
      </c>
    </row>
    <row r="365" spans="1:21" x14ac:dyDescent="0.55000000000000004">
      <c r="A365" s="71">
        <v>535</v>
      </c>
      <c r="C365" s="73">
        <v>15.57</v>
      </c>
      <c r="F365" s="71">
        <v>486</v>
      </c>
      <c r="H365" s="72">
        <v>16.559999999999999</v>
      </c>
      <c r="I365" s="71" t="s">
        <v>139</v>
      </c>
      <c r="K365" s="71">
        <v>156</v>
      </c>
      <c r="M365" s="72">
        <v>23.59</v>
      </c>
      <c r="N365" s="71" t="s">
        <v>1</v>
      </c>
      <c r="R365" s="71">
        <v>486</v>
      </c>
      <c r="T365" s="72">
        <v>16.559999999999999</v>
      </c>
      <c r="U365" s="71" t="s">
        <v>139</v>
      </c>
    </row>
    <row r="366" spans="1:21" x14ac:dyDescent="0.55000000000000004">
      <c r="A366" s="71">
        <v>535</v>
      </c>
      <c r="C366" s="73">
        <v>15.57</v>
      </c>
      <c r="F366" s="71">
        <v>486</v>
      </c>
      <c r="H366" s="72">
        <v>16.75</v>
      </c>
      <c r="I366" s="71" t="s">
        <v>139</v>
      </c>
      <c r="K366" s="71">
        <v>268</v>
      </c>
      <c r="M366" s="72">
        <v>23.77</v>
      </c>
      <c r="N366" s="71" t="s">
        <v>1</v>
      </c>
      <c r="R366" s="71">
        <v>486</v>
      </c>
      <c r="T366" s="72">
        <v>16.75</v>
      </c>
      <c r="U366" s="71" t="s">
        <v>139</v>
      </c>
    </row>
    <row r="367" spans="1:21" x14ac:dyDescent="0.55000000000000004">
      <c r="A367" s="71">
        <v>535</v>
      </c>
      <c r="C367" s="73">
        <v>15.57</v>
      </c>
      <c r="F367" s="71">
        <v>486</v>
      </c>
      <c r="H367" s="72">
        <v>17.079999999999998</v>
      </c>
      <c r="I367" s="71" t="s">
        <v>139</v>
      </c>
      <c r="K367" s="71">
        <v>506</v>
      </c>
      <c r="M367" s="72">
        <v>23.83</v>
      </c>
      <c r="N367" s="71" t="s">
        <v>1</v>
      </c>
      <c r="R367" s="71">
        <v>486</v>
      </c>
      <c r="T367" s="72">
        <v>17.079999999999998</v>
      </c>
      <c r="U367" s="71" t="s">
        <v>139</v>
      </c>
    </row>
    <row r="368" spans="1:21" x14ac:dyDescent="0.55000000000000004">
      <c r="A368" s="71">
        <v>646</v>
      </c>
      <c r="C368" s="73">
        <v>15.57</v>
      </c>
      <c r="F368" s="71">
        <v>500</v>
      </c>
      <c r="H368" s="72">
        <v>13.5</v>
      </c>
      <c r="I368" s="71" t="s">
        <v>139</v>
      </c>
      <c r="K368" s="71">
        <v>883</v>
      </c>
      <c r="M368" s="72">
        <v>24</v>
      </c>
      <c r="N368" s="71" t="s">
        <v>1</v>
      </c>
      <c r="R368" s="71">
        <v>500</v>
      </c>
      <c r="T368" s="72">
        <v>13.5</v>
      </c>
      <c r="U368" s="71" t="s">
        <v>139</v>
      </c>
    </row>
    <row r="369" spans="1:21" x14ac:dyDescent="0.55000000000000004">
      <c r="A369" s="71">
        <v>646</v>
      </c>
      <c r="C369" s="73">
        <v>15.57</v>
      </c>
      <c r="F369" s="71">
        <v>500</v>
      </c>
      <c r="H369" s="72">
        <v>13.5</v>
      </c>
      <c r="I369" s="71" t="s">
        <v>139</v>
      </c>
      <c r="K369" s="71">
        <v>883</v>
      </c>
      <c r="M369" s="72">
        <v>24</v>
      </c>
      <c r="N369" s="71" t="s">
        <v>1</v>
      </c>
      <c r="R369" s="71">
        <v>500</v>
      </c>
      <c r="T369" s="72">
        <v>13.5</v>
      </c>
      <c r="U369" s="71" t="s">
        <v>139</v>
      </c>
    </row>
    <row r="370" spans="1:21" x14ac:dyDescent="0.55000000000000004">
      <c r="A370" s="71">
        <v>646</v>
      </c>
      <c r="C370" s="73">
        <v>15.57</v>
      </c>
      <c r="F370" s="71">
        <v>500</v>
      </c>
      <c r="H370" s="72">
        <v>13.5</v>
      </c>
      <c r="I370" s="71" t="s">
        <v>139</v>
      </c>
      <c r="K370" s="71">
        <v>636</v>
      </c>
      <c r="M370" s="72">
        <v>24</v>
      </c>
      <c r="N370" s="71" t="s">
        <v>1</v>
      </c>
      <c r="R370" s="71">
        <v>500</v>
      </c>
      <c r="T370" s="72">
        <v>13.5</v>
      </c>
      <c r="U370" s="71" t="s">
        <v>139</v>
      </c>
    </row>
    <row r="371" spans="1:21" x14ac:dyDescent="0.55000000000000004">
      <c r="A371" s="71">
        <v>646</v>
      </c>
      <c r="C371" s="73">
        <v>15.57</v>
      </c>
      <c r="F371" s="71">
        <v>500</v>
      </c>
      <c r="H371" s="72">
        <v>13.5</v>
      </c>
      <c r="I371" s="71" t="s">
        <v>139</v>
      </c>
      <c r="K371" s="71">
        <v>814</v>
      </c>
      <c r="M371" s="72">
        <v>24.16</v>
      </c>
      <c r="N371" s="71" t="s">
        <v>1</v>
      </c>
      <c r="R371" s="71">
        <v>500</v>
      </c>
      <c r="T371" s="72">
        <v>13.5</v>
      </c>
      <c r="U371" s="71" t="s">
        <v>139</v>
      </c>
    </row>
    <row r="372" spans="1:21" x14ac:dyDescent="0.55000000000000004">
      <c r="A372" s="71">
        <v>646</v>
      </c>
      <c r="C372" s="73">
        <v>15.57</v>
      </c>
      <c r="F372" s="71">
        <v>500</v>
      </c>
      <c r="H372" s="72">
        <v>13.5</v>
      </c>
      <c r="I372" s="71" t="s">
        <v>139</v>
      </c>
      <c r="K372" s="71">
        <v>575</v>
      </c>
      <c r="M372" s="72">
        <v>24.18</v>
      </c>
      <c r="N372" s="71" t="s">
        <v>1</v>
      </c>
      <c r="R372" s="71">
        <v>500</v>
      </c>
      <c r="T372" s="72">
        <v>13.5</v>
      </c>
      <c r="U372" s="71" t="s">
        <v>139</v>
      </c>
    </row>
    <row r="373" spans="1:21" x14ac:dyDescent="0.55000000000000004">
      <c r="A373" s="71">
        <v>756</v>
      </c>
      <c r="C373" s="75">
        <v>15.58</v>
      </c>
      <c r="D373" s="75"/>
      <c r="F373" s="71">
        <v>500</v>
      </c>
      <c r="H373" s="72">
        <v>13.5</v>
      </c>
      <c r="I373" s="71" t="s">
        <v>139</v>
      </c>
      <c r="K373" s="71">
        <v>452</v>
      </c>
      <c r="M373" s="72">
        <v>24.25</v>
      </c>
      <c r="N373" s="71" t="s">
        <v>1</v>
      </c>
      <c r="R373" s="71">
        <v>500</v>
      </c>
      <c r="T373" s="72">
        <v>13.5</v>
      </c>
      <c r="U373" s="71" t="s">
        <v>139</v>
      </c>
    </row>
    <row r="374" spans="1:21" x14ac:dyDescent="0.55000000000000004">
      <c r="A374" s="71">
        <v>313</v>
      </c>
      <c r="C374" s="73">
        <v>15.6</v>
      </c>
      <c r="F374" s="71">
        <v>500</v>
      </c>
      <c r="H374" s="72">
        <v>13.5</v>
      </c>
      <c r="I374" s="71" t="s">
        <v>139</v>
      </c>
      <c r="K374" s="71">
        <v>452</v>
      </c>
      <c r="M374" s="72">
        <v>24.25</v>
      </c>
      <c r="N374" s="71" t="s">
        <v>1</v>
      </c>
      <c r="R374" s="71">
        <v>500</v>
      </c>
      <c r="T374" s="72">
        <v>13.5</v>
      </c>
      <c r="U374" s="71" t="s">
        <v>139</v>
      </c>
    </row>
    <row r="375" spans="1:21" x14ac:dyDescent="0.55000000000000004">
      <c r="A375" s="71">
        <v>962</v>
      </c>
      <c r="C375" s="73">
        <v>15.6</v>
      </c>
      <c r="D375" s="73">
        <v>21</v>
      </c>
      <c r="F375" s="71">
        <v>500</v>
      </c>
      <c r="H375" s="72">
        <v>13.5</v>
      </c>
      <c r="I375" s="71" t="s">
        <v>139</v>
      </c>
      <c r="K375" s="71">
        <v>542</v>
      </c>
      <c r="M375" s="72">
        <v>24.34</v>
      </c>
      <c r="N375" s="71" t="s">
        <v>1</v>
      </c>
      <c r="R375" s="71">
        <v>500</v>
      </c>
      <c r="T375" s="72">
        <v>13.5</v>
      </c>
      <c r="U375" s="71" t="s">
        <v>139</v>
      </c>
    </row>
    <row r="376" spans="1:21" x14ac:dyDescent="0.55000000000000004">
      <c r="A376" s="71">
        <v>164</v>
      </c>
      <c r="C376" s="73">
        <v>15.61</v>
      </c>
      <c r="D376" s="73">
        <v>22.47</v>
      </c>
      <c r="F376" s="71">
        <v>500</v>
      </c>
      <c r="H376" s="72">
        <v>13.5</v>
      </c>
      <c r="I376" s="71" t="s">
        <v>139</v>
      </c>
      <c r="K376" s="71">
        <v>145</v>
      </c>
      <c r="M376" s="72">
        <v>24.4</v>
      </c>
      <c r="N376" s="71" t="s">
        <v>1</v>
      </c>
      <c r="R376" s="71">
        <v>500</v>
      </c>
      <c r="T376" s="72">
        <v>13.5</v>
      </c>
      <c r="U376" s="71" t="s">
        <v>139</v>
      </c>
    </row>
    <row r="377" spans="1:21" x14ac:dyDescent="0.55000000000000004">
      <c r="A377" s="71">
        <v>164</v>
      </c>
      <c r="C377" s="73">
        <v>15.61</v>
      </c>
      <c r="D377" s="73">
        <v>20.8</v>
      </c>
      <c r="F377" s="71">
        <v>500</v>
      </c>
      <c r="H377" s="72">
        <v>13.5</v>
      </c>
      <c r="I377" s="71" t="s">
        <v>139</v>
      </c>
      <c r="K377" s="71">
        <v>861</v>
      </c>
      <c r="M377" s="72">
        <v>24.72</v>
      </c>
      <c r="N377" s="71" t="s">
        <v>1</v>
      </c>
      <c r="R377" s="71">
        <v>500</v>
      </c>
      <c r="T377" s="72">
        <v>13.5</v>
      </c>
      <c r="U377" s="71" t="s">
        <v>139</v>
      </c>
    </row>
    <row r="378" spans="1:21" x14ac:dyDescent="0.55000000000000004">
      <c r="A378" s="71">
        <v>164</v>
      </c>
      <c r="C378" s="73">
        <v>15.61</v>
      </c>
      <c r="F378" s="71">
        <v>500</v>
      </c>
      <c r="H378" s="72">
        <v>13.5</v>
      </c>
      <c r="I378" s="71" t="s">
        <v>139</v>
      </c>
      <c r="K378" s="71">
        <v>861</v>
      </c>
      <c r="M378" s="72">
        <v>24.72</v>
      </c>
      <c r="N378" s="71" t="s">
        <v>1</v>
      </c>
      <c r="R378" s="71">
        <v>500</v>
      </c>
      <c r="T378" s="72">
        <v>13.5</v>
      </c>
      <c r="U378" s="71" t="s">
        <v>139</v>
      </c>
    </row>
    <row r="379" spans="1:21" x14ac:dyDescent="0.55000000000000004">
      <c r="A379" s="71">
        <v>572</v>
      </c>
      <c r="C379" s="73">
        <v>15.61</v>
      </c>
      <c r="F379" s="71">
        <v>500</v>
      </c>
      <c r="H379" s="72">
        <v>13.5</v>
      </c>
      <c r="I379" s="71" t="s">
        <v>139</v>
      </c>
      <c r="K379" s="71">
        <v>861</v>
      </c>
      <c r="M379" s="72">
        <v>24.72</v>
      </c>
      <c r="N379" s="71" t="s">
        <v>1</v>
      </c>
      <c r="R379" s="71">
        <v>500</v>
      </c>
      <c r="T379" s="72">
        <v>13.5</v>
      </c>
      <c r="U379" s="71" t="s">
        <v>139</v>
      </c>
    </row>
    <row r="380" spans="1:21" x14ac:dyDescent="0.55000000000000004">
      <c r="A380" s="71">
        <v>572</v>
      </c>
      <c r="C380" s="73">
        <v>15.61</v>
      </c>
      <c r="F380" s="71">
        <v>500</v>
      </c>
      <c r="H380" s="72">
        <v>13.75</v>
      </c>
      <c r="I380" s="71" t="s">
        <v>139</v>
      </c>
      <c r="K380" s="71">
        <v>766</v>
      </c>
      <c r="M380" s="72">
        <v>24.78</v>
      </c>
      <c r="N380" s="71" t="s">
        <v>1</v>
      </c>
      <c r="R380" s="71">
        <v>500</v>
      </c>
      <c r="T380" s="72">
        <v>13.75</v>
      </c>
      <c r="U380" s="71" t="s">
        <v>139</v>
      </c>
    </row>
    <row r="381" spans="1:21" x14ac:dyDescent="0.55000000000000004">
      <c r="A381" s="71">
        <v>572</v>
      </c>
      <c r="C381" s="73">
        <v>15.61</v>
      </c>
      <c r="F381" s="71">
        <v>500</v>
      </c>
      <c r="H381" s="72">
        <v>13.75</v>
      </c>
      <c r="I381" s="71" t="s">
        <v>139</v>
      </c>
      <c r="K381" s="71">
        <v>380</v>
      </c>
      <c r="M381" s="72">
        <v>24.78</v>
      </c>
      <c r="N381" s="71" t="s">
        <v>1</v>
      </c>
      <c r="R381" s="71">
        <v>500</v>
      </c>
      <c r="T381" s="72">
        <v>13.75</v>
      </c>
      <c r="U381" s="71" t="s">
        <v>139</v>
      </c>
    </row>
    <row r="382" spans="1:21" x14ac:dyDescent="0.55000000000000004">
      <c r="A382" s="71">
        <v>143</v>
      </c>
      <c r="C382" s="73">
        <v>15.61</v>
      </c>
      <c r="F382" s="71">
        <v>500</v>
      </c>
      <c r="H382" s="72">
        <v>14.25</v>
      </c>
      <c r="I382" s="71" t="s">
        <v>139</v>
      </c>
      <c r="K382" s="71">
        <v>506</v>
      </c>
      <c r="M382" s="72">
        <v>24.88</v>
      </c>
      <c r="N382" s="71" t="s">
        <v>1</v>
      </c>
      <c r="R382" s="71">
        <v>500</v>
      </c>
      <c r="T382" s="72">
        <v>14.25</v>
      </c>
      <c r="U382" s="71" t="s">
        <v>139</v>
      </c>
    </row>
    <row r="383" spans="1:21" x14ac:dyDescent="0.55000000000000004">
      <c r="A383" s="71">
        <v>861</v>
      </c>
      <c r="C383" s="73">
        <v>15.64</v>
      </c>
      <c r="F383" s="71">
        <v>500</v>
      </c>
      <c r="H383" s="72">
        <v>15</v>
      </c>
      <c r="I383" s="71" t="s">
        <v>139</v>
      </c>
      <c r="K383" s="71">
        <v>316</v>
      </c>
      <c r="M383" s="72">
        <v>25</v>
      </c>
      <c r="N383" s="71" t="s">
        <v>1</v>
      </c>
      <c r="R383" s="71">
        <v>500</v>
      </c>
      <c r="T383" s="72">
        <v>15</v>
      </c>
      <c r="U383" s="71" t="s">
        <v>139</v>
      </c>
    </row>
    <row r="384" spans="1:21" x14ac:dyDescent="0.55000000000000004">
      <c r="A384" s="71">
        <v>506</v>
      </c>
      <c r="C384" s="73">
        <v>15.71</v>
      </c>
      <c r="F384" s="71">
        <v>500</v>
      </c>
      <c r="H384" s="72">
        <v>15.09</v>
      </c>
      <c r="I384" s="71" t="s">
        <v>139</v>
      </c>
      <c r="K384" s="71">
        <v>315</v>
      </c>
      <c r="M384" s="72">
        <v>25.16</v>
      </c>
      <c r="N384" s="71" t="s">
        <v>1</v>
      </c>
      <c r="R384" s="71">
        <v>500</v>
      </c>
      <c r="T384" s="72">
        <v>15.09</v>
      </c>
      <c r="U384" s="71" t="s">
        <v>139</v>
      </c>
    </row>
    <row r="385" spans="1:21" x14ac:dyDescent="0.55000000000000004">
      <c r="A385" s="71">
        <v>506</v>
      </c>
      <c r="C385" s="73">
        <v>15.71</v>
      </c>
      <c r="F385" s="71">
        <v>500</v>
      </c>
      <c r="H385" s="72">
        <v>15.23</v>
      </c>
      <c r="I385" s="71" t="s">
        <v>139</v>
      </c>
      <c r="K385" s="71">
        <v>315</v>
      </c>
      <c r="M385" s="72">
        <v>25.16</v>
      </c>
      <c r="N385" s="71" t="s">
        <v>1</v>
      </c>
      <c r="R385" s="71">
        <v>500</v>
      </c>
      <c r="T385" s="72">
        <v>15.23</v>
      </c>
      <c r="U385" s="71" t="s">
        <v>139</v>
      </c>
    </row>
    <row r="386" spans="1:21" x14ac:dyDescent="0.55000000000000004">
      <c r="A386" s="71">
        <v>315</v>
      </c>
      <c r="C386" s="73">
        <v>15.71</v>
      </c>
      <c r="D386" s="73">
        <v>21.5</v>
      </c>
      <c r="F386" s="71">
        <v>500</v>
      </c>
      <c r="H386" s="72">
        <v>15.72</v>
      </c>
      <c r="I386" s="71" t="s">
        <v>139</v>
      </c>
      <c r="K386" s="71">
        <v>315</v>
      </c>
      <c r="M386" s="72">
        <v>25.16</v>
      </c>
      <c r="N386" s="71" t="s">
        <v>1</v>
      </c>
      <c r="R386" s="71">
        <v>500</v>
      </c>
      <c r="T386" s="72">
        <v>15.72</v>
      </c>
      <c r="U386" s="71" t="s">
        <v>139</v>
      </c>
    </row>
    <row r="387" spans="1:21" x14ac:dyDescent="0.55000000000000004">
      <c r="A387" s="71">
        <v>315</v>
      </c>
      <c r="C387" s="73">
        <v>15.71</v>
      </c>
      <c r="F387" s="71">
        <v>500</v>
      </c>
      <c r="H387" s="72">
        <v>15.74</v>
      </c>
      <c r="I387" s="71" t="s">
        <v>139</v>
      </c>
      <c r="K387" s="71">
        <v>277</v>
      </c>
      <c r="M387" s="72">
        <v>25.42</v>
      </c>
      <c r="N387" s="71" t="s">
        <v>1</v>
      </c>
      <c r="R387" s="71">
        <v>500</v>
      </c>
      <c r="T387" s="72">
        <v>15.74</v>
      </c>
      <c r="U387" s="71" t="s">
        <v>139</v>
      </c>
    </row>
    <row r="388" spans="1:21" x14ac:dyDescent="0.55000000000000004">
      <c r="A388" s="71">
        <v>315</v>
      </c>
      <c r="C388" s="73">
        <v>15.71</v>
      </c>
      <c r="F388" s="71">
        <v>500</v>
      </c>
      <c r="H388" s="72">
        <v>16.25</v>
      </c>
      <c r="I388" s="71" t="s">
        <v>139</v>
      </c>
      <c r="K388" s="71">
        <v>277</v>
      </c>
      <c r="M388" s="72">
        <v>25.426600000000001</v>
      </c>
      <c r="N388" s="71" t="s">
        <v>1</v>
      </c>
      <c r="R388" s="71">
        <v>500</v>
      </c>
      <c r="T388" s="72">
        <v>16.25</v>
      </c>
      <c r="U388" s="71" t="s">
        <v>139</v>
      </c>
    </row>
    <row r="389" spans="1:21" x14ac:dyDescent="0.55000000000000004">
      <c r="A389" s="71">
        <v>315</v>
      </c>
      <c r="C389" s="73">
        <v>15.71</v>
      </c>
      <c r="F389" s="71">
        <v>500</v>
      </c>
      <c r="H389" s="72">
        <v>17.25</v>
      </c>
      <c r="I389" s="71" t="s">
        <v>139</v>
      </c>
      <c r="K389" s="71">
        <v>861</v>
      </c>
      <c r="M389" s="72">
        <v>25.75</v>
      </c>
      <c r="N389" s="71" t="s">
        <v>1</v>
      </c>
      <c r="R389" s="71">
        <v>500</v>
      </c>
      <c r="T389" s="72">
        <v>17.25</v>
      </c>
      <c r="U389" s="71" t="s">
        <v>139</v>
      </c>
    </row>
    <row r="390" spans="1:21" x14ac:dyDescent="0.55000000000000004">
      <c r="A390" s="71">
        <v>318</v>
      </c>
      <c r="C390" s="73">
        <v>15.72</v>
      </c>
      <c r="F390" s="71">
        <v>500</v>
      </c>
      <c r="H390" s="72">
        <v>17.25</v>
      </c>
      <c r="I390" s="71" t="s">
        <v>139</v>
      </c>
      <c r="K390" s="71">
        <v>315</v>
      </c>
      <c r="M390" s="72">
        <v>25.91</v>
      </c>
      <c r="N390" s="71" t="s">
        <v>1</v>
      </c>
      <c r="R390" s="71">
        <v>500</v>
      </c>
      <c r="T390" s="72">
        <v>17.25</v>
      </c>
      <c r="U390" s="71" t="s">
        <v>139</v>
      </c>
    </row>
    <row r="391" spans="1:21" x14ac:dyDescent="0.55000000000000004">
      <c r="A391" s="71">
        <v>500</v>
      </c>
      <c r="C391" s="75">
        <v>15.72</v>
      </c>
      <c r="D391" s="75"/>
      <c r="F391" s="71">
        <v>500</v>
      </c>
      <c r="H391" s="72">
        <v>19.170000000000002</v>
      </c>
      <c r="I391" s="71" t="s">
        <v>139</v>
      </c>
      <c r="K391" s="71">
        <v>883</v>
      </c>
      <c r="M391" s="72">
        <v>26</v>
      </c>
      <c r="N391" s="71" t="s">
        <v>1</v>
      </c>
      <c r="R391" s="71">
        <v>500</v>
      </c>
      <c r="T391" s="72">
        <v>19.170000000000002</v>
      </c>
      <c r="U391" s="71" t="s">
        <v>139</v>
      </c>
    </row>
    <row r="392" spans="1:21" x14ac:dyDescent="0.55000000000000004">
      <c r="A392" s="71">
        <v>604</v>
      </c>
      <c r="C392" s="73">
        <v>15.74</v>
      </c>
      <c r="F392" s="71">
        <v>506</v>
      </c>
      <c r="H392" s="72">
        <v>15.71</v>
      </c>
      <c r="I392" s="71" t="s">
        <v>139</v>
      </c>
      <c r="K392" s="71">
        <v>558</v>
      </c>
      <c r="M392" s="72">
        <v>26</v>
      </c>
      <c r="N392" s="71" t="s">
        <v>1</v>
      </c>
      <c r="R392" s="71">
        <v>506</v>
      </c>
      <c r="T392" s="72">
        <v>15.71</v>
      </c>
      <c r="U392" s="71" t="s">
        <v>139</v>
      </c>
    </row>
    <row r="393" spans="1:21" x14ac:dyDescent="0.55000000000000004">
      <c r="A393" s="71">
        <v>604</v>
      </c>
      <c r="C393" s="73">
        <v>15.74</v>
      </c>
      <c r="D393" s="73">
        <v>20</v>
      </c>
      <c r="F393" s="71">
        <v>506</v>
      </c>
      <c r="H393" s="72">
        <v>15.71</v>
      </c>
      <c r="I393" s="71" t="s">
        <v>139</v>
      </c>
      <c r="K393" s="71">
        <v>380</v>
      </c>
      <c r="M393" s="72">
        <v>26.41</v>
      </c>
      <c r="N393" s="71" t="s">
        <v>1</v>
      </c>
      <c r="R393" s="71">
        <v>506</v>
      </c>
      <c r="T393" s="72">
        <v>15.71</v>
      </c>
      <c r="U393" s="71" t="s">
        <v>139</v>
      </c>
    </row>
    <row r="394" spans="1:21" x14ac:dyDescent="0.55000000000000004">
      <c r="A394" s="71">
        <v>604</v>
      </c>
      <c r="C394" s="73">
        <v>15.74</v>
      </c>
      <c r="D394" s="73">
        <v>21</v>
      </c>
      <c r="F394" s="71">
        <v>506</v>
      </c>
      <c r="H394" s="72">
        <v>15.97</v>
      </c>
      <c r="I394" s="71" t="s">
        <v>139</v>
      </c>
      <c r="K394" s="71">
        <v>380</v>
      </c>
      <c r="M394" s="72">
        <v>26.41</v>
      </c>
      <c r="N394" s="71" t="s">
        <v>1</v>
      </c>
      <c r="R394" s="71">
        <v>506</v>
      </c>
      <c r="T394" s="72">
        <v>15.97</v>
      </c>
      <c r="U394" s="71" t="s">
        <v>139</v>
      </c>
    </row>
    <row r="395" spans="1:21" x14ac:dyDescent="0.55000000000000004">
      <c r="A395" s="71">
        <v>500</v>
      </c>
      <c r="C395" s="75">
        <v>15.74</v>
      </c>
      <c r="D395" s="75"/>
      <c r="F395" s="71">
        <v>506</v>
      </c>
      <c r="H395" s="72">
        <v>15.97</v>
      </c>
      <c r="I395" s="71" t="s">
        <v>139</v>
      </c>
      <c r="K395" s="71">
        <v>380</v>
      </c>
      <c r="M395" s="72">
        <v>26.41</v>
      </c>
      <c r="N395" s="71" t="s">
        <v>1</v>
      </c>
      <c r="R395" s="71">
        <v>506</v>
      </c>
      <c r="T395" s="72">
        <v>15.97</v>
      </c>
      <c r="U395" s="71" t="s">
        <v>139</v>
      </c>
    </row>
    <row r="396" spans="1:21" x14ac:dyDescent="0.55000000000000004">
      <c r="A396" s="71">
        <v>560</v>
      </c>
      <c r="C396" s="73">
        <v>15.75</v>
      </c>
      <c r="F396" s="71">
        <v>506</v>
      </c>
      <c r="H396" s="72">
        <v>15.97</v>
      </c>
      <c r="I396" s="71" t="s">
        <v>139</v>
      </c>
      <c r="K396" s="71">
        <v>380</v>
      </c>
      <c r="M396" s="72">
        <v>26.41</v>
      </c>
      <c r="N396" s="71" t="s">
        <v>1</v>
      </c>
      <c r="R396" s="71">
        <v>506</v>
      </c>
      <c r="T396" s="72">
        <v>15.97</v>
      </c>
      <c r="U396" s="71" t="s">
        <v>139</v>
      </c>
    </row>
    <row r="397" spans="1:21" x14ac:dyDescent="0.55000000000000004">
      <c r="A397" s="71">
        <v>288</v>
      </c>
      <c r="C397" s="73">
        <v>15.75</v>
      </c>
      <c r="F397" s="71">
        <v>506</v>
      </c>
      <c r="H397" s="72">
        <v>16.239999999999998</v>
      </c>
      <c r="I397" s="71" t="s">
        <v>139</v>
      </c>
      <c r="K397" s="71">
        <v>803</v>
      </c>
      <c r="M397" s="72">
        <v>18.329999999999998</v>
      </c>
      <c r="N397" s="71" t="s">
        <v>1</v>
      </c>
      <c r="R397" s="71">
        <v>506</v>
      </c>
      <c r="T397" s="72">
        <v>16.239999999999998</v>
      </c>
      <c r="U397" s="71" t="s">
        <v>139</v>
      </c>
    </row>
    <row r="398" spans="1:21" x14ac:dyDescent="0.55000000000000004">
      <c r="A398" s="71">
        <v>288</v>
      </c>
      <c r="C398" s="73">
        <v>15.75</v>
      </c>
      <c r="F398" s="71">
        <v>506</v>
      </c>
      <c r="H398" s="72">
        <v>17.809999999999999</v>
      </c>
      <c r="I398" s="71" t="s">
        <v>139</v>
      </c>
      <c r="K398" s="71">
        <v>803</v>
      </c>
      <c r="M398" s="72">
        <v>19.899999999999999</v>
      </c>
      <c r="N398" s="71" t="s">
        <v>1</v>
      </c>
      <c r="R398" s="71">
        <v>506</v>
      </c>
      <c r="T398" s="72">
        <v>17.809999999999999</v>
      </c>
      <c r="U398" s="71" t="s">
        <v>139</v>
      </c>
    </row>
    <row r="399" spans="1:21" x14ac:dyDescent="0.55000000000000004">
      <c r="A399" s="71">
        <v>852</v>
      </c>
      <c r="C399" s="73">
        <v>15.8</v>
      </c>
      <c r="F399" s="71">
        <v>506</v>
      </c>
      <c r="H399" s="72">
        <v>18.59</v>
      </c>
      <c r="I399" s="71" t="s">
        <v>139</v>
      </c>
      <c r="K399" s="71">
        <v>803</v>
      </c>
      <c r="M399" s="72">
        <v>17.809999999999999</v>
      </c>
      <c r="N399" s="71" t="s">
        <v>1</v>
      </c>
      <c r="R399" s="71">
        <v>506</v>
      </c>
      <c r="T399" s="72">
        <v>18.59</v>
      </c>
      <c r="U399" s="71" t="s">
        <v>139</v>
      </c>
    </row>
    <row r="400" spans="1:21" x14ac:dyDescent="0.55000000000000004">
      <c r="A400" s="71">
        <v>644</v>
      </c>
      <c r="C400" s="73">
        <v>15.84</v>
      </c>
      <c r="F400" s="71">
        <v>506</v>
      </c>
      <c r="H400" s="72">
        <v>19.12</v>
      </c>
      <c r="I400" s="71" t="s">
        <v>139</v>
      </c>
      <c r="K400" s="71">
        <v>803</v>
      </c>
      <c r="M400" s="72">
        <v>17.809999999999999</v>
      </c>
      <c r="N400" s="71" t="s">
        <v>1</v>
      </c>
      <c r="R400" s="71">
        <v>506</v>
      </c>
      <c r="T400" s="72">
        <v>19.12</v>
      </c>
      <c r="U400" s="71" t="s">
        <v>139</v>
      </c>
    </row>
    <row r="401" spans="1:21" x14ac:dyDescent="0.55000000000000004">
      <c r="A401" s="71">
        <v>984</v>
      </c>
      <c r="C401" s="73">
        <v>15.84</v>
      </c>
      <c r="F401" s="71">
        <v>506</v>
      </c>
      <c r="H401" s="72">
        <v>19.64</v>
      </c>
      <c r="I401" s="71" t="s">
        <v>139</v>
      </c>
      <c r="K401" s="71">
        <v>315</v>
      </c>
      <c r="M401" s="72">
        <v>26.69</v>
      </c>
      <c r="N401" s="71" t="s">
        <v>1</v>
      </c>
      <c r="R401" s="71">
        <v>506</v>
      </c>
      <c r="T401" s="72">
        <v>19.64</v>
      </c>
      <c r="U401" s="71" t="s">
        <v>139</v>
      </c>
    </row>
    <row r="402" spans="1:21" x14ac:dyDescent="0.55000000000000004">
      <c r="A402" s="71">
        <v>984</v>
      </c>
      <c r="C402" s="73">
        <v>15.84</v>
      </c>
      <c r="F402" s="71">
        <v>528</v>
      </c>
      <c r="H402" s="72">
        <v>16.2</v>
      </c>
      <c r="I402" s="71" t="s">
        <v>139</v>
      </c>
      <c r="K402" s="71">
        <v>883</v>
      </c>
      <c r="M402" s="72">
        <v>26.98</v>
      </c>
      <c r="N402" s="71" t="s">
        <v>1</v>
      </c>
      <c r="R402" s="71">
        <v>528</v>
      </c>
      <c r="T402" s="72">
        <v>16.2</v>
      </c>
      <c r="U402" s="71" t="s">
        <v>139</v>
      </c>
    </row>
    <row r="403" spans="1:21" x14ac:dyDescent="0.55000000000000004">
      <c r="A403" s="71">
        <v>156</v>
      </c>
      <c r="C403" s="73">
        <v>15.84</v>
      </c>
      <c r="F403" s="71">
        <v>528</v>
      </c>
      <c r="H403" s="72">
        <v>16.2</v>
      </c>
      <c r="I403" s="71" t="s">
        <v>139</v>
      </c>
      <c r="R403" s="71">
        <v>528</v>
      </c>
      <c r="T403" s="72">
        <v>16.2</v>
      </c>
      <c r="U403" s="71" t="s">
        <v>139</v>
      </c>
    </row>
    <row r="404" spans="1:21" x14ac:dyDescent="0.55000000000000004">
      <c r="A404" s="71">
        <v>883</v>
      </c>
      <c r="C404" s="73">
        <v>15.85</v>
      </c>
      <c r="F404" s="71">
        <v>528</v>
      </c>
      <c r="H404" s="72">
        <v>16.2</v>
      </c>
      <c r="I404" s="71" t="s">
        <v>139</v>
      </c>
      <c r="R404" s="71">
        <v>528</v>
      </c>
      <c r="T404" s="72">
        <v>16.2</v>
      </c>
      <c r="U404" s="71" t="s">
        <v>139</v>
      </c>
    </row>
    <row r="405" spans="1:21" x14ac:dyDescent="0.55000000000000004">
      <c r="A405" s="71">
        <v>861</v>
      </c>
      <c r="C405" s="73">
        <v>15.85</v>
      </c>
      <c r="F405" s="71">
        <v>528</v>
      </c>
      <c r="H405" s="72">
        <v>16.2</v>
      </c>
      <c r="I405" s="71" t="s">
        <v>139</v>
      </c>
      <c r="R405" s="71">
        <v>528</v>
      </c>
      <c r="T405" s="72">
        <v>16.2</v>
      </c>
      <c r="U405" s="71" t="s">
        <v>139</v>
      </c>
    </row>
    <row r="406" spans="1:21" x14ac:dyDescent="0.55000000000000004">
      <c r="A406" s="71">
        <v>861</v>
      </c>
      <c r="C406" s="73">
        <v>15.85</v>
      </c>
      <c r="F406" s="71">
        <v>528</v>
      </c>
      <c r="H406" s="72">
        <v>16.2</v>
      </c>
      <c r="I406" s="71" t="s">
        <v>139</v>
      </c>
      <c r="R406" s="71">
        <v>528</v>
      </c>
      <c r="T406" s="72">
        <v>16.2</v>
      </c>
      <c r="U406" s="71" t="s">
        <v>139</v>
      </c>
    </row>
    <row r="407" spans="1:21" x14ac:dyDescent="0.55000000000000004">
      <c r="A407" s="71">
        <v>861</v>
      </c>
      <c r="C407" s="73">
        <v>15.85</v>
      </c>
      <c r="F407" s="71">
        <v>528</v>
      </c>
      <c r="H407" s="72">
        <v>16.2</v>
      </c>
      <c r="I407" s="71" t="s">
        <v>139</v>
      </c>
      <c r="R407" s="71">
        <v>528</v>
      </c>
      <c r="T407" s="72">
        <v>16.2</v>
      </c>
      <c r="U407" s="71" t="s">
        <v>139</v>
      </c>
    </row>
    <row r="408" spans="1:21" x14ac:dyDescent="0.55000000000000004">
      <c r="A408" s="71">
        <v>861</v>
      </c>
      <c r="C408" s="73">
        <v>15.85</v>
      </c>
      <c r="D408" s="73">
        <v>17.437000000000001</v>
      </c>
      <c r="F408" s="71">
        <v>528</v>
      </c>
      <c r="H408" s="72">
        <v>16.2</v>
      </c>
      <c r="I408" s="71" t="s">
        <v>139</v>
      </c>
      <c r="R408" s="71">
        <v>528</v>
      </c>
      <c r="T408" s="72">
        <v>16.2</v>
      </c>
      <c r="U408" s="71" t="s">
        <v>139</v>
      </c>
    </row>
    <row r="409" spans="1:21" x14ac:dyDescent="0.55000000000000004">
      <c r="A409" s="71">
        <v>861</v>
      </c>
      <c r="C409" s="73">
        <v>15.85</v>
      </c>
      <c r="D409" s="73">
        <v>17.82</v>
      </c>
      <c r="F409" s="71">
        <v>528</v>
      </c>
      <c r="H409" s="72">
        <v>16.43</v>
      </c>
      <c r="I409" s="71" t="s">
        <v>139</v>
      </c>
      <c r="R409" s="71">
        <v>528</v>
      </c>
      <c r="T409" s="72">
        <v>16.43</v>
      </c>
      <c r="U409" s="71" t="s">
        <v>139</v>
      </c>
    </row>
    <row r="410" spans="1:21" x14ac:dyDescent="0.55000000000000004">
      <c r="A410" s="71">
        <v>540</v>
      </c>
      <c r="C410" s="73">
        <v>15.86</v>
      </c>
      <c r="D410" s="73">
        <v>20</v>
      </c>
      <c r="F410" s="71">
        <v>528</v>
      </c>
      <c r="H410" s="72">
        <v>17.59</v>
      </c>
      <c r="I410" s="71" t="s">
        <v>139</v>
      </c>
      <c r="R410" s="71">
        <v>528</v>
      </c>
      <c r="T410" s="72">
        <v>17.59</v>
      </c>
      <c r="U410" s="71" t="s">
        <v>139</v>
      </c>
    </row>
    <row r="411" spans="1:21" x14ac:dyDescent="0.55000000000000004">
      <c r="A411" s="71">
        <v>540</v>
      </c>
      <c r="C411" s="73">
        <v>15.86</v>
      </c>
      <c r="D411" s="73">
        <v>22.15</v>
      </c>
      <c r="F411" s="71">
        <v>528</v>
      </c>
      <c r="H411" s="72">
        <v>19.61</v>
      </c>
      <c r="I411" s="71" t="s">
        <v>139</v>
      </c>
      <c r="R411" s="71">
        <v>528</v>
      </c>
      <c r="T411" s="72">
        <v>19.61</v>
      </c>
      <c r="U411" s="71" t="s">
        <v>139</v>
      </c>
    </row>
    <row r="412" spans="1:21" x14ac:dyDescent="0.55000000000000004">
      <c r="A412" s="71">
        <v>540</v>
      </c>
      <c r="C412" s="73">
        <v>15.86</v>
      </c>
      <c r="F412" s="71">
        <v>528</v>
      </c>
      <c r="H412" s="72">
        <v>22.41</v>
      </c>
      <c r="I412" s="71" t="s">
        <v>139</v>
      </c>
      <c r="R412" s="71">
        <v>528</v>
      </c>
      <c r="T412" s="72">
        <v>22.41</v>
      </c>
      <c r="U412" s="71" t="s">
        <v>139</v>
      </c>
    </row>
    <row r="413" spans="1:21" x14ac:dyDescent="0.55000000000000004">
      <c r="A413" s="71">
        <v>203</v>
      </c>
      <c r="C413" s="73">
        <v>15.88</v>
      </c>
      <c r="F413" s="71">
        <v>535</v>
      </c>
      <c r="H413" s="72">
        <v>15.27</v>
      </c>
      <c r="I413" s="71" t="s">
        <v>139</v>
      </c>
      <c r="R413" s="71">
        <v>535</v>
      </c>
      <c r="T413" s="72">
        <v>15.27</v>
      </c>
      <c r="U413" s="71" t="s">
        <v>139</v>
      </c>
    </row>
    <row r="414" spans="1:21" x14ac:dyDescent="0.55000000000000004">
      <c r="A414" s="71">
        <v>351</v>
      </c>
      <c r="C414" s="73">
        <v>15.88</v>
      </c>
      <c r="F414" s="71">
        <v>535</v>
      </c>
      <c r="H414" s="72">
        <v>15.27</v>
      </c>
      <c r="I414" s="71" t="s">
        <v>139</v>
      </c>
      <c r="R414" s="71">
        <v>535</v>
      </c>
      <c r="T414" s="72">
        <v>15.27</v>
      </c>
      <c r="U414" s="71" t="s">
        <v>139</v>
      </c>
    </row>
    <row r="415" spans="1:21" x14ac:dyDescent="0.55000000000000004">
      <c r="A415" s="71">
        <v>351</v>
      </c>
      <c r="C415" s="73">
        <v>15.88</v>
      </c>
      <c r="F415" s="71">
        <v>535</v>
      </c>
      <c r="H415" s="72">
        <v>15.27</v>
      </c>
      <c r="I415" s="71" t="s">
        <v>139</v>
      </c>
      <c r="R415" s="71">
        <v>535</v>
      </c>
      <c r="T415" s="72">
        <v>15.27</v>
      </c>
      <c r="U415" s="71" t="s">
        <v>139</v>
      </c>
    </row>
    <row r="416" spans="1:21" x14ac:dyDescent="0.55000000000000004">
      <c r="A416" s="71">
        <v>351</v>
      </c>
      <c r="C416" s="73">
        <v>15.88</v>
      </c>
      <c r="F416" s="71">
        <v>535</v>
      </c>
      <c r="H416" s="72">
        <v>15.27</v>
      </c>
      <c r="I416" s="71" t="s">
        <v>139</v>
      </c>
      <c r="R416" s="71">
        <v>535</v>
      </c>
      <c r="T416" s="72">
        <v>15.27</v>
      </c>
      <c r="U416" s="71" t="s">
        <v>139</v>
      </c>
    </row>
    <row r="417" spans="1:21" x14ac:dyDescent="0.55000000000000004">
      <c r="A417" s="71">
        <v>535</v>
      </c>
      <c r="C417" s="73">
        <v>15.88</v>
      </c>
      <c r="F417" s="71">
        <v>535</v>
      </c>
      <c r="H417" s="72">
        <v>15.27</v>
      </c>
      <c r="I417" s="71" t="s">
        <v>139</v>
      </c>
      <c r="R417" s="71">
        <v>535</v>
      </c>
      <c r="T417" s="72">
        <v>15.27</v>
      </c>
      <c r="U417" s="71" t="s">
        <v>139</v>
      </c>
    </row>
    <row r="418" spans="1:21" x14ac:dyDescent="0.55000000000000004">
      <c r="A418" s="71">
        <v>535</v>
      </c>
      <c r="C418" s="73">
        <v>15.88</v>
      </c>
      <c r="F418" s="71">
        <v>535</v>
      </c>
      <c r="H418" s="72">
        <v>15.27</v>
      </c>
      <c r="I418" s="71" t="s">
        <v>139</v>
      </c>
      <c r="R418" s="71">
        <v>535</v>
      </c>
      <c r="T418" s="72">
        <v>15.27</v>
      </c>
      <c r="U418" s="71" t="s">
        <v>139</v>
      </c>
    </row>
    <row r="419" spans="1:21" x14ac:dyDescent="0.55000000000000004">
      <c r="A419" s="71">
        <v>560</v>
      </c>
      <c r="C419" s="73">
        <v>15.887499999999999</v>
      </c>
      <c r="D419" s="73">
        <v>17.89</v>
      </c>
      <c r="F419" s="71">
        <v>535</v>
      </c>
      <c r="H419" s="72">
        <v>15.27</v>
      </c>
      <c r="I419" s="71" t="s">
        <v>139</v>
      </c>
      <c r="R419" s="71">
        <v>535</v>
      </c>
      <c r="T419" s="72">
        <v>15.27</v>
      </c>
      <c r="U419" s="71" t="s">
        <v>139</v>
      </c>
    </row>
    <row r="420" spans="1:21" x14ac:dyDescent="0.55000000000000004">
      <c r="A420" s="71">
        <v>560</v>
      </c>
      <c r="C420" s="73">
        <v>15.887499999999999</v>
      </c>
      <c r="D420" s="73">
        <v>20.56</v>
      </c>
      <c r="F420" s="71">
        <v>535</v>
      </c>
      <c r="H420" s="72">
        <v>15.27</v>
      </c>
      <c r="I420" s="71" t="s">
        <v>139</v>
      </c>
      <c r="R420" s="71">
        <v>535</v>
      </c>
      <c r="T420" s="72">
        <v>15.27</v>
      </c>
      <c r="U420" s="71" t="s">
        <v>139</v>
      </c>
    </row>
    <row r="421" spans="1:21" x14ac:dyDescent="0.55000000000000004">
      <c r="A421" s="71">
        <v>560</v>
      </c>
      <c r="C421" s="73">
        <v>15.887499999999999</v>
      </c>
      <c r="D421" s="73">
        <v>21.59</v>
      </c>
      <c r="F421" s="71">
        <v>535</v>
      </c>
      <c r="H421" s="72">
        <v>15.27</v>
      </c>
      <c r="I421" s="71" t="s">
        <v>139</v>
      </c>
      <c r="R421" s="71">
        <v>535</v>
      </c>
      <c r="T421" s="72">
        <v>15.27</v>
      </c>
      <c r="U421" s="71" t="s">
        <v>139</v>
      </c>
    </row>
    <row r="422" spans="1:21" x14ac:dyDescent="0.55000000000000004">
      <c r="A422" s="71">
        <v>560</v>
      </c>
      <c r="C422" s="73">
        <v>15.887499999999999</v>
      </c>
      <c r="F422" s="71">
        <v>535</v>
      </c>
      <c r="H422" s="72">
        <v>15.27</v>
      </c>
      <c r="I422" s="71" t="s">
        <v>139</v>
      </c>
      <c r="R422" s="71">
        <v>535</v>
      </c>
      <c r="T422" s="72">
        <v>15.27</v>
      </c>
      <c r="U422" s="71" t="s">
        <v>139</v>
      </c>
    </row>
    <row r="423" spans="1:21" x14ac:dyDescent="0.55000000000000004">
      <c r="A423" s="71">
        <v>560</v>
      </c>
      <c r="C423" s="73">
        <v>15.887499999999999</v>
      </c>
      <c r="F423" s="71">
        <v>535</v>
      </c>
      <c r="H423" s="72">
        <v>15.27</v>
      </c>
      <c r="I423" s="71" t="s">
        <v>139</v>
      </c>
      <c r="R423" s="71">
        <v>535</v>
      </c>
      <c r="T423" s="72">
        <v>15.27</v>
      </c>
      <c r="U423" s="71" t="s">
        <v>139</v>
      </c>
    </row>
    <row r="424" spans="1:21" x14ac:dyDescent="0.55000000000000004">
      <c r="A424" s="71">
        <v>560</v>
      </c>
      <c r="C424" s="73">
        <v>15.887499999999999</v>
      </c>
      <c r="F424" s="71">
        <v>535</v>
      </c>
      <c r="H424" s="72">
        <v>15.27</v>
      </c>
      <c r="I424" s="71" t="s">
        <v>139</v>
      </c>
      <c r="R424" s="71">
        <v>535</v>
      </c>
      <c r="T424" s="72">
        <v>15.27</v>
      </c>
      <c r="U424" s="71" t="s">
        <v>139</v>
      </c>
    </row>
    <row r="425" spans="1:21" x14ac:dyDescent="0.55000000000000004">
      <c r="A425" s="71">
        <v>164</v>
      </c>
      <c r="C425" s="73">
        <v>15.92</v>
      </c>
      <c r="F425" s="71">
        <v>535</v>
      </c>
      <c r="H425" s="72">
        <v>15.27</v>
      </c>
      <c r="I425" s="71" t="s">
        <v>139</v>
      </c>
      <c r="R425" s="71">
        <v>535</v>
      </c>
      <c r="T425" s="72">
        <v>15.27</v>
      </c>
      <c r="U425" s="71" t="s">
        <v>139</v>
      </c>
    </row>
    <row r="426" spans="1:21" x14ac:dyDescent="0.55000000000000004">
      <c r="A426" s="71">
        <v>783</v>
      </c>
      <c r="C426" s="73">
        <v>15.928900000000001</v>
      </c>
      <c r="F426" s="71">
        <v>535</v>
      </c>
      <c r="H426" s="72">
        <v>15.27</v>
      </c>
      <c r="I426" s="71" t="s">
        <v>139</v>
      </c>
      <c r="R426" s="71">
        <v>535</v>
      </c>
      <c r="T426" s="72">
        <v>15.27</v>
      </c>
      <c r="U426" s="71" t="s">
        <v>139</v>
      </c>
    </row>
    <row r="427" spans="1:21" x14ac:dyDescent="0.55000000000000004">
      <c r="A427" s="71">
        <v>540</v>
      </c>
      <c r="C427" s="73">
        <v>15.94</v>
      </c>
      <c r="F427" s="71">
        <v>535</v>
      </c>
      <c r="H427" s="72">
        <v>15.27</v>
      </c>
      <c r="I427" s="71" t="s">
        <v>139</v>
      </c>
      <c r="R427" s="71">
        <v>535</v>
      </c>
      <c r="T427" s="72">
        <v>15.27</v>
      </c>
      <c r="U427" s="71" t="s">
        <v>139</v>
      </c>
    </row>
    <row r="428" spans="1:21" x14ac:dyDescent="0.55000000000000004">
      <c r="A428" s="71">
        <v>997</v>
      </c>
      <c r="C428" s="74">
        <v>15.944039999999999</v>
      </c>
      <c r="D428" s="74"/>
      <c r="F428" s="71">
        <v>535</v>
      </c>
      <c r="H428" s="72">
        <v>15.27</v>
      </c>
      <c r="I428" s="71" t="s">
        <v>139</v>
      </c>
      <c r="R428" s="71">
        <v>535</v>
      </c>
      <c r="T428" s="72">
        <v>15.27</v>
      </c>
      <c r="U428" s="71" t="s">
        <v>139</v>
      </c>
    </row>
    <row r="429" spans="1:21" x14ac:dyDescent="0.55000000000000004">
      <c r="A429" s="71">
        <v>506</v>
      </c>
      <c r="C429" s="73">
        <v>15.97</v>
      </c>
      <c r="F429" s="71">
        <v>535</v>
      </c>
      <c r="H429" s="72">
        <v>15.27</v>
      </c>
      <c r="I429" s="71" t="s">
        <v>139</v>
      </c>
      <c r="R429" s="71">
        <v>535</v>
      </c>
      <c r="T429" s="72">
        <v>15.27</v>
      </c>
      <c r="U429" s="71" t="s">
        <v>139</v>
      </c>
    </row>
    <row r="430" spans="1:21" x14ac:dyDescent="0.55000000000000004">
      <c r="A430" s="71">
        <v>506</v>
      </c>
      <c r="C430" s="73">
        <v>15.97</v>
      </c>
      <c r="D430" s="73">
        <v>14.03</v>
      </c>
      <c r="F430" s="71">
        <v>535</v>
      </c>
      <c r="H430" s="72">
        <v>15.27</v>
      </c>
      <c r="I430" s="71" t="s">
        <v>139</v>
      </c>
      <c r="R430" s="71">
        <v>535</v>
      </c>
      <c r="T430" s="72">
        <v>15.27</v>
      </c>
      <c r="U430" s="71" t="s">
        <v>139</v>
      </c>
    </row>
    <row r="431" spans="1:21" x14ac:dyDescent="0.55000000000000004">
      <c r="A431" s="71">
        <v>506</v>
      </c>
      <c r="C431" s="73">
        <v>15.97</v>
      </c>
      <c r="D431" s="73">
        <v>15</v>
      </c>
      <c r="F431" s="71">
        <v>535</v>
      </c>
      <c r="H431" s="72">
        <v>15.27</v>
      </c>
      <c r="I431" s="71" t="s">
        <v>139</v>
      </c>
      <c r="R431" s="71">
        <v>535</v>
      </c>
      <c r="T431" s="72">
        <v>15.27</v>
      </c>
      <c r="U431" s="71" t="s">
        <v>139</v>
      </c>
    </row>
    <row r="432" spans="1:21" x14ac:dyDescent="0.55000000000000004">
      <c r="A432" s="71">
        <v>726</v>
      </c>
      <c r="C432" s="73">
        <v>15.97</v>
      </c>
      <c r="D432" s="73">
        <v>15.67</v>
      </c>
      <c r="F432" s="71">
        <v>535</v>
      </c>
      <c r="H432" s="72">
        <v>15.27</v>
      </c>
      <c r="I432" s="71" t="s">
        <v>139</v>
      </c>
      <c r="R432" s="71">
        <v>535</v>
      </c>
      <c r="T432" s="72">
        <v>15.27</v>
      </c>
      <c r="U432" s="71" t="s">
        <v>139</v>
      </c>
    </row>
    <row r="433" spans="1:21" x14ac:dyDescent="0.55000000000000004">
      <c r="A433" s="71">
        <v>771</v>
      </c>
      <c r="C433" s="73">
        <v>15.97</v>
      </c>
      <c r="D433" s="73">
        <v>15.67</v>
      </c>
      <c r="F433" s="71">
        <v>535</v>
      </c>
      <c r="H433" s="72">
        <v>15.27</v>
      </c>
      <c r="I433" s="71" t="s">
        <v>139</v>
      </c>
      <c r="R433" s="71">
        <v>535</v>
      </c>
      <c r="T433" s="72">
        <v>15.27</v>
      </c>
      <c r="U433" s="71" t="s">
        <v>139</v>
      </c>
    </row>
    <row r="434" spans="1:21" x14ac:dyDescent="0.55000000000000004">
      <c r="A434" s="71">
        <v>771</v>
      </c>
      <c r="C434" s="73">
        <v>15.97</v>
      </c>
      <c r="D434" s="73">
        <v>16.18</v>
      </c>
      <c r="F434" s="71">
        <v>535</v>
      </c>
      <c r="H434" s="72">
        <v>15.27</v>
      </c>
      <c r="I434" s="71" t="s">
        <v>139</v>
      </c>
      <c r="R434" s="71">
        <v>535</v>
      </c>
      <c r="T434" s="72">
        <v>15.27</v>
      </c>
      <c r="U434" s="71" t="s">
        <v>139</v>
      </c>
    </row>
    <row r="435" spans="1:21" x14ac:dyDescent="0.55000000000000004">
      <c r="A435" s="71">
        <v>771</v>
      </c>
      <c r="C435" s="73">
        <v>15.97</v>
      </c>
      <c r="D435" s="73">
        <v>16.18</v>
      </c>
      <c r="F435" s="71">
        <v>535</v>
      </c>
      <c r="H435" s="72">
        <v>15.27</v>
      </c>
      <c r="I435" s="71" t="s">
        <v>139</v>
      </c>
      <c r="R435" s="71">
        <v>535</v>
      </c>
      <c r="T435" s="72">
        <v>15.27</v>
      </c>
      <c r="U435" s="71" t="s">
        <v>139</v>
      </c>
    </row>
    <row r="436" spans="1:21" x14ac:dyDescent="0.55000000000000004">
      <c r="A436" s="71">
        <v>771</v>
      </c>
      <c r="C436" s="73">
        <v>15.97</v>
      </c>
      <c r="D436" s="73">
        <v>16.670000000000002</v>
      </c>
      <c r="F436" s="71">
        <v>535</v>
      </c>
      <c r="H436" s="72">
        <v>15.27</v>
      </c>
      <c r="I436" s="71" t="s">
        <v>139</v>
      </c>
      <c r="R436" s="71">
        <v>535</v>
      </c>
      <c r="T436" s="72">
        <v>15.27</v>
      </c>
      <c r="U436" s="71" t="s">
        <v>139</v>
      </c>
    </row>
    <row r="437" spans="1:21" x14ac:dyDescent="0.55000000000000004">
      <c r="A437" s="71">
        <v>771</v>
      </c>
      <c r="C437" s="73">
        <v>15.97</v>
      </c>
      <c r="D437" s="73">
        <v>16.670000000000002</v>
      </c>
      <c r="F437" s="71">
        <v>535</v>
      </c>
      <c r="H437" s="72">
        <v>15.27</v>
      </c>
      <c r="I437" s="71" t="s">
        <v>139</v>
      </c>
      <c r="R437" s="71">
        <v>535</v>
      </c>
      <c r="T437" s="72">
        <v>15.27</v>
      </c>
      <c r="U437" s="71" t="s">
        <v>139</v>
      </c>
    </row>
    <row r="438" spans="1:21" x14ac:dyDescent="0.55000000000000004">
      <c r="A438" s="71">
        <v>771</v>
      </c>
      <c r="C438" s="73">
        <v>15.97</v>
      </c>
      <c r="D438" s="73">
        <v>17.79</v>
      </c>
      <c r="F438" s="71">
        <v>535</v>
      </c>
      <c r="H438" s="72">
        <v>15.27</v>
      </c>
      <c r="I438" s="71" t="s">
        <v>139</v>
      </c>
      <c r="R438" s="71">
        <v>535</v>
      </c>
      <c r="T438" s="72">
        <v>15.27</v>
      </c>
      <c r="U438" s="71" t="s">
        <v>139</v>
      </c>
    </row>
    <row r="439" spans="1:21" x14ac:dyDescent="0.55000000000000004">
      <c r="A439" s="71">
        <v>560</v>
      </c>
      <c r="C439" s="73">
        <v>15.979800000000001</v>
      </c>
      <c r="D439" s="73">
        <v>18.07</v>
      </c>
      <c r="F439" s="71">
        <v>535</v>
      </c>
      <c r="H439" s="72">
        <v>15.27</v>
      </c>
      <c r="I439" s="71" t="s">
        <v>139</v>
      </c>
      <c r="R439" s="71">
        <v>535</v>
      </c>
      <c r="T439" s="72">
        <v>15.27</v>
      </c>
      <c r="U439" s="71" t="s">
        <v>139</v>
      </c>
    </row>
    <row r="440" spans="1:21" x14ac:dyDescent="0.55000000000000004">
      <c r="A440" s="71">
        <v>910</v>
      </c>
      <c r="C440" s="73">
        <v>15.994930666283611</v>
      </c>
      <c r="D440" s="73">
        <v>18.57</v>
      </c>
      <c r="F440" s="71">
        <v>535</v>
      </c>
      <c r="H440" s="72">
        <v>15.27</v>
      </c>
      <c r="I440" s="71" t="s">
        <v>139</v>
      </c>
      <c r="R440" s="71">
        <v>535</v>
      </c>
      <c r="T440" s="72">
        <v>15.27</v>
      </c>
      <c r="U440" s="71" t="s">
        <v>139</v>
      </c>
    </row>
    <row r="441" spans="1:21" x14ac:dyDescent="0.55000000000000004">
      <c r="A441" s="71">
        <v>910</v>
      </c>
      <c r="C441" s="73">
        <v>15.99510434913047</v>
      </c>
      <c r="D441" s="73">
        <v>18.57</v>
      </c>
      <c r="F441" s="71">
        <v>535</v>
      </c>
      <c r="H441" s="72">
        <v>15.27</v>
      </c>
      <c r="I441" s="71" t="s">
        <v>139</v>
      </c>
      <c r="R441" s="71">
        <v>535</v>
      </c>
      <c r="T441" s="72">
        <v>15.27</v>
      </c>
      <c r="U441" s="71" t="s">
        <v>139</v>
      </c>
    </row>
    <row r="442" spans="1:21" x14ac:dyDescent="0.55000000000000004">
      <c r="A442" s="71">
        <v>814</v>
      </c>
      <c r="C442" s="74">
        <v>16</v>
      </c>
      <c r="D442" s="74">
        <v>21.09</v>
      </c>
      <c r="F442" s="71">
        <v>535</v>
      </c>
      <c r="H442" s="72">
        <v>15.27</v>
      </c>
      <c r="I442" s="71" t="s">
        <v>139</v>
      </c>
      <c r="R442" s="71">
        <v>535</v>
      </c>
      <c r="T442" s="72">
        <v>15.27</v>
      </c>
      <c r="U442" s="71" t="s">
        <v>139</v>
      </c>
    </row>
    <row r="443" spans="1:21" x14ac:dyDescent="0.55000000000000004">
      <c r="A443" s="71">
        <v>814</v>
      </c>
      <c r="C443" s="74">
        <v>16</v>
      </c>
      <c r="D443" s="74">
        <v>18.329999999999998</v>
      </c>
      <c r="F443" s="71">
        <v>535</v>
      </c>
      <c r="H443" s="72">
        <v>15.27</v>
      </c>
      <c r="I443" s="71" t="s">
        <v>139</v>
      </c>
      <c r="R443" s="71">
        <v>535</v>
      </c>
      <c r="T443" s="72">
        <v>15.27</v>
      </c>
      <c r="U443" s="71" t="s">
        <v>139</v>
      </c>
    </row>
    <row r="444" spans="1:21" x14ac:dyDescent="0.55000000000000004">
      <c r="A444" s="71">
        <v>814</v>
      </c>
      <c r="C444" s="73">
        <v>16</v>
      </c>
      <c r="D444" s="73">
        <v>17.850000000000001</v>
      </c>
      <c r="F444" s="71">
        <v>535</v>
      </c>
      <c r="H444" s="72">
        <v>15.27</v>
      </c>
      <c r="I444" s="71" t="s">
        <v>139</v>
      </c>
      <c r="R444" s="71">
        <v>535</v>
      </c>
      <c r="T444" s="72">
        <v>15.27</v>
      </c>
      <c r="U444" s="71" t="s">
        <v>139</v>
      </c>
    </row>
    <row r="445" spans="1:21" x14ac:dyDescent="0.55000000000000004">
      <c r="A445" s="71">
        <v>814</v>
      </c>
      <c r="C445" s="73">
        <v>16</v>
      </c>
      <c r="D445" s="73">
        <v>18.88</v>
      </c>
      <c r="F445" s="71">
        <v>535</v>
      </c>
      <c r="H445" s="72">
        <v>15.57</v>
      </c>
      <c r="I445" s="71" t="s">
        <v>139</v>
      </c>
      <c r="R445" s="71">
        <v>535</v>
      </c>
      <c r="T445" s="72">
        <v>15.57</v>
      </c>
      <c r="U445" s="71" t="s">
        <v>139</v>
      </c>
    </row>
    <row r="446" spans="1:21" x14ac:dyDescent="0.55000000000000004">
      <c r="A446" s="71">
        <v>814</v>
      </c>
      <c r="C446" s="73">
        <v>16</v>
      </c>
      <c r="D446" s="73">
        <v>20.149999999999999</v>
      </c>
      <c r="F446" s="71">
        <v>535</v>
      </c>
      <c r="H446" s="72">
        <v>15.57</v>
      </c>
      <c r="I446" s="71" t="s">
        <v>139</v>
      </c>
      <c r="R446" s="71">
        <v>535</v>
      </c>
      <c r="T446" s="72">
        <v>15.57</v>
      </c>
      <c r="U446" s="71" t="s">
        <v>139</v>
      </c>
    </row>
    <row r="447" spans="1:21" x14ac:dyDescent="0.55000000000000004">
      <c r="A447" s="71">
        <v>814</v>
      </c>
      <c r="C447" s="73">
        <v>16</v>
      </c>
      <c r="D447" s="73">
        <v>18.399999999999999</v>
      </c>
      <c r="F447" s="71">
        <v>535</v>
      </c>
      <c r="H447" s="72">
        <v>15.57</v>
      </c>
      <c r="I447" s="71" t="s">
        <v>139</v>
      </c>
      <c r="R447" s="71">
        <v>535</v>
      </c>
      <c r="T447" s="72">
        <v>15.57</v>
      </c>
      <c r="U447" s="71" t="s">
        <v>139</v>
      </c>
    </row>
    <row r="448" spans="1:21" x14ac:dyDescent="0.55000000000000004">
      <c r="A448" s="71">
        <v>814</v>
      </c>
      <c r="C448" s="73">
        <v>16</v>
      </c>
      <c r="D448" s="73">
        <v>22.65</v>
      </c>
      <c r="F448" s="71">
        <v>535</v>
      </c>
      <c r="H448" s="72">
        <v>15.57</v>
      </c>
      <c r="I448" s="71" t="s">
        <v>139</v>
      </c>
      <c r="R448" s="71">
        <v>535</v>
      </c>
      <c r="T448" s="72">
        <v>15.57</v>
      </c>
      <c r="U448" s="71" t="s">
        <v>139</v>
      </c>
    </row>
    <row r="449" spans="1:21" x14ac:dyDescent="0.55000000000000004">
      <c r="A449" s="71">
        <v>814</v>
      </c>
      <c r="C449" s="73">
        <v>16</v>
      </c>
      <c r="F449" s="71">
        <v>535</v>
      </c>
      <c r="H449" s="72">
        <v>15.57</v>
      </c>
      <c r="I449" s="71" t="s">
        <v>139</v>
      </c>
      <c r="R449" s="71">
        <v>535</v>
      </c>
      <c r="T449" s="72">
        <v>15.57</v>
      </c>
      <c r="U449" s="71" t="s">
        <v>139</v>
      </c>
    </row>
    <row r="450" spans="1:21" x14ac:dyDescent="0.55000000000000004">
      <c r="A450" s="71">
        <v>814</v>
      </c>
      <c r="C450" s="73">
        <v>16</v>
      </c>
      <c r="F450" s="71">
        <v>535</v>
      </c>
      <c r="H450" s="72">
        <v>15.57</v>
      </c>
      <c r="I450" s="71" t="s">
        <v>139</v>
      </c>
      <c r="R450" s="71">
        <v>535</v>
      </c>
      <c r="T450" s="72">
        <v>15.57</v>
      </c>
      <c r="U450" s="71" t="s">
        <v>139</v>
      </c>
    </row>
    <row r="451" spans="1:21" x14ac:dyDescent="0.55000000000000004">
      <c r="A451" s="71">
        <v>814</v>
      </c>
      <c r="C451" s="73">
        <v>16</v>
      </c>
      <c r="F451" s="71">
        <v>535</v>
      </c>
      <c r="H451" s="72">
        <v>15.57</v>
      </c>
      <c r="I451" s="71" t="s">
        <v>139</v>
      </c>
      <c r="R451" s="71">
        <v>535</v>
      </c>
      <c r="T451" s="72">
        <v>15.57</v>
      </c>
      <c r="U451" s="71" t="s">
        <v>139</v>
      </c>
    </row>
    <row r="452" spans="1:21" x14ac:dyDescent="0.55000000000000004">
      <c r="A452" s="71">
        <v>967</v>
      </c>
      <c r="C452" s="73">
        <v>16</v>
      </c>
      <c r="F452" s="71">
        <v>535</v>
      </c>
      <c r="H452" s="72">
        <v>15.88</v>
      </c>
      <c r="I452" s="71" t="s">
        <v>139</v>
      </c>
      <c r="R452" s="71">
        <v>535</v>
      </c>
      <c r="T452" s="72">
        <v>15.88</v>
      </c>
      <c r="U452" s="71" t="s">
        <v>139</v>
      </c>
    </row>
    <row r="453" spans="1:21" x14ac:dyDescent="0.55000000000000004">
      <c r="A453" s="71">
        <v>572</v>
      </c>
      <c r="C453" s="73">
        <v>16</v>
      </c>
      <c r="F453" s="71">
        <v>535</v>
      </c>
      <c r="H453" s="72">
        <v>15.88</v>
      </c>
      <c r="I453" s="71" t="s">
        <v>139</v>
      </c>
      <c r="R453" s="71">
        <v>535</v>
      </c>
      <c r="T453" s="72">
        <v>15.88</v>
      </c>
      <c r="U453" s="71" t="s">
        <v>139</v>
      </c>
    </row>
    <row r="454" spans="1:21" x14ac:dyDescent="0.55000000000000004">
      <c r="A454" s="71">
        <v>572</v>
      </c>
      <c r="C454" s="73">
        <v>16</v>
      </c>
      <c r="F454" s="71">
        <v>535</v>
      </c>
      <c r="H454" s="72">
        <v>16.2</v>
      </c>
      <c r="I454" s="71" t="s">
        <v>139</v>
      </c>
      <c r="R454" s="71">
        <v>535</v>
      </c>
      <c r="T454" s="72">
        <v>16.2</v>
      </c>
      <c r="U454" s="71" t="s">
        <v>139</v>
      </c>
    </row>
    <row r="455" spans="1:21" x14ac:dyDescent="0.55000000000000004">
      <c r="A455" s="71">
        <v>346</v>
      </c>
      <c r="C455" s="73">
        <v>16</v>
      </c>
      <c r="F455" s="71">
        <v>535</v>
      </c>
      <c r="H455" s="72">
        <v>16.53</v>
      </c>
      <c r="I455" s="71" t="s">
        <v>139</v>
      </c>
      <c r="R455" s="71">
        <v>535</v>
      </c>
      <c r="T455" s="72">
        <v>16.53</v>
      </c>
      <c r="U455" s="71" t="s">
        <v>139</v>
      </c>
    </row>
    <row r="456" spans="1:21" x14ac:dyDescent="0.55000000000000004">
      <c r="A456" s="71">
        <v>205</v>
      </c>
      <c r="C456" s="73">
        <v>16</v>
      </c>
      <c r="F456" s="71">
        <v>535</v>
      </c>
      <c r="H456" s="72">
        <v>17.54</v>
      </c>
      <c r="I456" s="71" t="s">
        <v>139</v>
      </c>
      <c r="R456" s="71">
        <v>535</v>
      </c>
      <c r="T456" s="72">
        <v>17.54</v>
      </c>
      <c r="U456" s="71" t="s">
        <v>139</v>
      </c>
    </row>
    <row r="457" spans="1:21" x14ac:dyDescent="0.55000000000000004">
      <c r="A457" s="71">
        <v>205</v>
      </c>
      <c r="C457" s="73">
        <v>16</v>
      </c>
      <c r="F457" s="71">
        <v>535</v>
      </c>
      <c r="H457" s="72">
        <v>17.54</v>
      </c>
      <c r="I457" s="71" t="s">
        <v>139</v>
      </c>
      <c r="R457" s="71">
        <v>535</v>
      </c>
      <c r="T457" s="72">
        <v>17.54</v>
      </c>
      <c r="U457" s="71" t="s">
        <v>139</v>
      </c>
    </row>
    <row r="458" spans="1:21" x14ac:dyDescent="0.55000000000000004">
      <c r="A458" s="71">
        <v>205</v>
      </c>
      <c r="C458" s="73">
        <v>16</v>
      </c>
      <c r="F458" s="71">
        <v>535</v>
      </c>
      <c r="H458" s="72">
        <v>17.89</v>
      </c>
      <c r="I458" s="71" t="s">
        <v>139</v>
      </c>
      <c r="R458" s="71">
        <v>535</v>
      </c>
      <c r="T458" s="72">
        <v>17.89</v>
      </c>
      <c r="U458" s="71" t="s">
        <v>139</v>
      </c>
    </row>
    <row r="459" spans="1:21" x14ac:dyDescent="0.55000000000000004">
      <c r="A459" s="71">
        <v>316</v>
      </c>
      <c r="C459" s="73">
        <v>16</v>
      </c>
      <c r="F459" s="71">
        <v>535</v>
      </c>
      <c r="H459" s="72">
        <v>18.07</v>
      </c>
      <c r="I459" s="71" t="s">
        <v>139</v>
      </c>
      <c r="R459" s="71">
        <v>535</v>
      </c>
      <c r="T459" s="72">
        <v>18.07</v>
      </c>
      <c r="U459" s="71" t="s">
        <v>139</v>
      </c>
    </row>
    <row r="460" spans="1:21" x14ac:dyDescent="0.55000000000000004">
      <c r="A460" s="71">
        <v>234</v>
      </c>
      <c r="C460" s="73">
        <v>16</v>
      </c>
      <c r="F460" s="71">
        <v>535</v>
      </c>
      <c r="H460" s="72">
        <v>18.440000000000001</v>
      </c>
      <c r="I460" s="71" t="s">
        <v>139</v>
      </c>
      <c r="R460" s="71">
        <v>535</v>
      </c>
      <c r="T460" s="72">
        <v>18.440000000000001</v>
      </c>
      <c r="U460" s="71" t="s">
        <v>139</v>
      </c>
    </row>
    <row r="461" spans="1:21" x14ac:dyDescent="0.55000000000000004">
      <c r="A461" s="71">
        <v>560</v>
      </c>
      <c r="C461" s="73">
        <v>16</v>
      </c>
      <c r="F461" s="71">
        <v>540</v>
      </c>
      <c r="H461" s="72">
        <v>15.4</v>
      </c>
      <c r="I461" s="71" t="s">
        <v>139</v>
      </c>
      <c r="R461" s="71">
        <v>540</v>
      </c>
      <c r="T461" s="72">
        <v>15.4</v>
      </c>
      <c r="U461" s="71" t="s">
        <v>139</v>
      </c>
    </row>
    <row r="462" spans="1:21" x14ac:dyDescent="0.55000000000000004">
      <c r="A462" s="71">
        <v>560</v>
      </c>
      <c r="C462" s="73">
        <v>16</v>
      </c>
      <c r="F462" s="71">
        <v>540</v>
      </c>
      <c r="H462" s="72">
        <v>15.4</v>
      </c>
      <c r="I462" s="71" t="s">
        <v>139</v>
      </c>
      <c r="R462" s="71">
        <v>540</v>
      </c>
      <c r="T462" s="72">
        <v>15.4</v>
      </c>
      <c r="U462" s="71" t="s">
        <v>139</v>
      </c>
    </row>
    <row r="463" spans="1:21" x14ac:dyDescent="0.55000000000000004">
      <c r="A463" s="71">
        <v>959</v>
      </c>
      <c r="C463" s="73">
        <v>16</v>
      </c>
      <c r="F463" s="71">
        <v>540</v>
      </c>
      <c r="H463" s="72">
        <v>15.4</v>
      </c>
      <c r="I463" s="71" t="s">
        <v>139</v>
      </c>
      <c r="R463" s="71">
        <v>540</v>
      </c>
      <c r="T463" s="72">
        <v>15.4</v>
      </c>
      <c r="U463" s="71" t="s">
        <v>139</v>
      </c>
    </row>
    <row r="464" spans="1:21" x14ac:dyDescent="0.55000000000000004">
      <c r="A464" s="71">
        <v>959</v>
      </c>
      <c r="C464" s="73">
        <v>16</v>
      </c>
      <c r="F464" s="71">
        <v>540</v>
      </c>
      <c r="H464" s="72">
        <v>15.4</v>
      </c>
      <c r="I464" s="71" t="s">
        <v>139</v>
      </c>
      <c r="R464" s="71">
        <v>540</v>
      </c>
      <c r="T464" s="72">
        <v>15.4</v>
      </c>
      <c r="U464" s="71" t="s">
        <v>139</v>
      </c>
    </row>
    <row r="465" spans="1:21" x14ac:dyDescent="0.55000000000000004">
      <c r="A465" s="71">
        <v>959</v>
      </c>
      <c r="C465" s="73">
        <v>16</v>
      </c>
      <c r="F465" s="71">
        <v>540</v>
      </c>
      <c r="H465" s="72">
        <v>15.4</v>
      </c>
      <c r="I465" s="71" t="s">
        <v>139</v>
      </c>
      <c r="R465" s="71">
        <v>540</v>
      </c>
      <c r="T465" s="72">
        <v>15.4</v>
      </c>
      <c r="U465" s="71" t="s">
        <v>139</v>
      </c>
    </row>
    <row r="466" spans="1:21" x14ac:dyDescent="0.55000000000000004">
      <c r="A466" s="71">
        <v>959</v>
      </c>
      <c r="C466" s="73">
        <v>16</v>
      </c>
      <c r="F466" s="71">
        <v>540</v>
      </c>
      <c r="H466" s="72">
        <v>15.4</v>
      </c>
      <c r="I466" s="71" t="s">
        <v>139</v>
      </c>
      <c r="R466" s="71">
        <v>540</v>
      </c>
      <c r="T466" s="72">
        <v>15.4</v>
      </c>
      <c r="U466" s="71" t="s">
        <v>139</v>
      </c>
    </row>
    <row r="467" spans="1:21" x14ac:dyDescent="0.55000000000000004">
      <c r="A467" s="71">
        <v>959</v>
      </c>
      <c r="C467" s="73">
        <v>16</v>
      </c>
      <c r="F467" s="71">
        <v>540</v>
      </c>
      <c r="H467" s="72">
        <v>15.4</v>
      </c>
      <c r="I467" s="71" t="s">
        <v>139</v>
      </c>
      <c r="R467" s="71">
        <v>540</v>
      </c>
      <c r="T467" s="72">
        <v>15.4</v>
      </c>
      <c r="U467" s="71" t="s">
        <v>139</v>
      </c>
    </row>
    <row r="468" spans="1:21" x14ac:dyDescent="0.55000000000000004">
      <c r="A468" s="71">
        <v>959</v>
      </c>
      <c r="C468" s="73">
        <v>16</v>
      </c>
      <c r="D468" s="73">
        <v>18.350000000000001</v>
      </c>
      <c r="F468" s="71">
        <v>540</v>
      </c>
      <c r="H468" s="72">
        <v>15.4</v>
      </c>
      <c r="I468" s="71" t="s">
        <v>139</v>
      </c>
      <c r="R468" s="71">
        <v>540</v>
      </c>
      <c r="T468" s="72">
        <v>15.4</v>
      </c>
      <c r="U468" s="71" t="s">
        <v>139</v>
      </c>
    </row>
    <row r="469" spans="1:21" x14ac:dyDescent="0.55000000000000004">
      <c r="A469" s="71">
        <v>959</v>
      </c>
      <c r="C469" s="73">
        <v>16</v>
      </c>
      <c r="D469" s="73">
        <v>17.190000000000001</v>
      </c>
      <c r="F469" s="71">
        <v>540</v>
      </c>
      <c r="H469" s="72">
        <v>15.4</v>
      </c>
      <c r="I469" s="71" t="s">
        <v>139</v>
      </c>
      <c r="R469" s="71">
        <v>540</v>
      </c>
      <c r="T469" s="72">
        <v>15.4</v>
      </c>
      <c r="U469" s="71" t="s">
        <v>139</v>
      </c>
    </row>
    <row r="470" spans="1:21" x14ac:dyDescent="0.55000000000000004">
      <c r="A470" s="71">
        <v>558</v>
      </c>
      <c r="C470" s="74">
        <v>16</v>
      </c>
      <c r="D470" s="74">
        <v>16.79</v>
      </c>
      <c r="F470" s="71">
        <v>540</v>
      </c>
      <c r="H470" s="72">
        <v>15.86</v>
      </c>
      <c r="I470" s="71" t="s">
        <v>139</v>
      </c>
      <c r="R470" s="71">
        <v>540</v>
      </c>
      <c r="T470" s="72">
        <v>15.86</v>
      </c>
      <c r="U470" s="71" t="s">
        <v>139</v>
      </c>
    </row>
    <row r="471" spans="1:21" x14ac:dyDescent="0.55000000000000004">
      <c r="A471" s="71">
        <v>558</v>
      </c>
      <c r="C471" s="74">
        <v>16</v>
      </c>
      <c r="D471" s="74">
        <v>16.72</v>
      </c>
      <c r="F471" s="71">
        <v>540</v>
      </c>
      <c r="H471" s="72">
        <v>15.86</v>
      </c>
      <c r="I471" s="71" t="s">
        <v>139</v>
      </c>
      <c r="R471" s="71">
        <v>540</v>
      </c>
      <c r="T471" s="72">
        <v>15.86</v>
      </c>
      <c r="U471" s="71" t="s">
        <v>139</v>
      </c>
    </row>
    <row r="472" spans="1:21" x14ac:dyDescent="0.55000000000000004">
      <c r="A472" s="71">
        <v>558</v>
      </c>
      <c r="C472" s="74">
        <v>16</v>
      </c>
      <c r="D472" s="74">
        <v>16</v>
      </c>
      <c r="F472" s="71">
        <v>540</v>
      </c>
      <c r="H472" s="72">
        <v>15.86</v>
      </c>
      <c r="I472" s="71" t="s">
        <v>139</v>
      </c>
      <c r="R472" s="71">
        <v>540</v>
      </c>
      <c r="T472" s="72">
        <v>15.86</v>
      </c>
      <c r="U472" s="71" t="s">
        <v>139</v>
      </c>
    </row>
    <row r="473" spans="1:21" x14ac:dyDescent="0.55000000000000004">
      <c r="A473" s="71">
        <v>558</v>
      </c>
      <c r="C473" s="74">
        <v>16</v>
      </c>
      <c r="D473" s="74">
        <v>17.5</v>
      </c>
      <c r="F473" s="71">
        <v>540</v>
      </c>
      <c r="H473" s="72">
        <v>15.94</v>
      </c>
      <c r="I473" s="71" t="s">
        <v>139</v>
      </c>
      <c r="R473" s="71">
        <v>540</v>
      </c>
      <c r="T473" s="72">
        <v>15.94</v>
      </c>
      <c r="U473" s="71" t="s">
        <v>139</v>
      </c>
    </row>
    <row r="474" spans="1:21" x14ac:dyDescent="0.55000000000000004">
      <c r="A474" s="71">
        <v>558</v>
      </c>
      <c r="C474" s="74">
        <v>16</v>
      </c>
      <c r="D474" s="74">
        <v>20.100000000000001</v>
      </c>
      <c r="F474" s="71">
        <v>540</v>
      </c>
      <c r="H474" s="72">
        <v>16.02</v>
      </c>
      <c r="I474" s="71" t="s">
        <v>139</v>
      </c>
      <c r="R474" s="71">
        <v>540</v>
      </c>
      <c r="T474" s="72">
        <v>16.02</v>
      </c>
      <c r="U474" s="71" t="s">
        <v>139</v>
      </c>
    </row>
    <row r="475" spans="1:21" x14ac:dyDescent="0.55000000000000004">
      <c r="A475" s="71">
        <v>558</v>
      </c>
      <c r="C475" s="74">
        <v>16</v>
      </c>
      <c r="D475" s="74">
        <v>20.100000000000001</v>
      </c>
      <c r="F475" s="71">
        <v>540</v>
      </c>
      <c r="H475" s="72">
        <v>16.079999999999998</v>
      </c>
      <c r="I475" s="71" t="s">
        <v>139</v>
      </c>
      <c r="R475" s="71">
        <v>540</v>
      </c>
      <c r="T475" s="72">
        <v>16.079999999999998</v>
      </c>
      <c r="U475" s="71" t="s">
        <v>139</v>
      </c>
    </row>
    <row r="476" spans="1:21" x14ac:dyDescent="0.55000000000000004">
      <c r="A476" s="71">
        <v>558</v>
      </c>
      <c r="C476" s="74">
        <v>16</v>
      </c>
      <c r="D476" s="74">
        <v>20.100000000000001</v>
      </c>
      <c r="F476" s="71">
        <v>540</v>
      </c>
      <c r="H476" s="72">
        <v>16.14</v>
      </c>
      <c r="I476" s="71" t="s">
        <v>139</v>
      </c>
      <c r="R476" s="71">
        <v>540</v>
      </c>
      <c r="T476" s="72">
        <v>16.14</v>
      </c>
      <c r="U476" s="71" t="s">
        <v>139</v>
      </c>
    </row>
    <row r="477" spans="1:21" x14ac:dyDescent="0.55000000000000004">
      <c r="A477" s="71">
        <v>558</v>
      </c>
      <c r="C477" s="74">
        <v>16</v>
      </c>
      <c r="D477" s="74">
        <v>18.489999999999998</v>
      </c>
      <c r="F477" s="71">
        <v>540</v>
      </c>
      <c r="H477" s="72">
        <v>16.16</v>
      </c>
      <c r="I477" s="71" t="s">
        <v>139</v>
      </c>
      <c r="R477" s="71">
        <v>540</v>
      </c>
      <c r="T477" s="72">
        <v>16.16</v>
      </c>
      <c r="U477" s="71" t="s">
        <v>139</v>
      </c>
    </row>
    <row r="478" spans="1:21" x14ac:dyDescent="0.55000000000000004">
      <c r="A478" s="71">
        <v>558</v>
      </c>
      <c r="C478" s="74">
        <v>16</v>
      </c>
      <c r="D478" s="74">
        <v>20.58</v>
      </c>
      <c r="F478" s="71">
        <v>540</v>
      </c>
      <c r="H478" s="72">
        <v>16.18</v>
      </c>
      <c r="I478" s="71" t="s">
        <v>139</v>
      </c>
      <c r="R478" s="71">
        <v>540</v>
      </c>
      <c r="T478" s="72">
        <v>16.18</v>
      </c>
      <c r="U478" s="71" t="s">
        <v>139</v>
      </c>
    </row>
    <row r="479" spans="1:21" x14ac:dyDescent="0.55000000000000004">
      <c r="A479" s="71">
        <v>558</v>
      </c>
      <c r="C479" s="74">
        <v>16</v>
      </c>
      <c r="D479" s="74">
        <v>21.48</v>
      </c>
      <c r="F479" s="71">
        <v>540</v>
      </c>
      <c r="H479" s="72">
        <v>16.22</v>
      </c>
      <c r="I479" s="71" t="s">
        <v>139</v>
      </c>
      <c r="R479" s="71">
        <v>540</v>
      </c>
      <c r="T479" s="72">
        <v>16.22</v>
      </c>
      <c r="U479" s="71" t="s">
        <v>139</v>
      </c>
    </row>
    <row r="480" spans="1:21" x14ac:dyDescent="0.55000000000000004">
      <c r="A480" s="71">
        <v>910</v>
      </c>
      <c r="C480" s="73">
        <v>16</v>
      </c>
      <c r="D480" s="73">
        <v>18.059999999999999</v>
      </c>
      <c r="F480" s="71">
        <v>540</v>
      </c>
      <c r="H480" s="72">
        <v>16.32</v>
      </c>
      <c r="I480" s="71" t="s">
        <v>139</v>
      </c>
      <c r="R480" s="71">
        <v>540</v>
      </c>
      <c r="T480" s="72">
        <v>16.32</v>
      </c>
      <c r="U480" s="71" t="s">
        <v>139</v>
      </c>
    </row>
    <row r="481" spans="1:21" x14ac:dyDescent="0.55000000000000004">
      <c r="A481" s="71">
        <v>910</v>
      </c>
      <c r="C481" s="73">
        <v>16</v>
      </c>
      <c r="D481" s="73">
        <v>16.53</v>
      </c>
      <c r="F481" s="71">
        <v>540</v>
      </c>
      <c r="H481" s="72">
        <v>16.57</v>
      </c>
      <c r="I481" s="71" t="s">
        <v>139</v>
      </c>
      <c r="R481" s="71">
        <v>540</v>
      </c>
      <c r="T481" s="72">
        <v>16.57</v>
      </c>
      <c r="U481" s="71" t="s">
        <v>139</v>
      </c>
    </row>
    <row r="482" spans="1:21" x14ac:dyDescent="0.55000000000000004">
      <c r="A482" s="71">
        <v>910</v>
      </c>
      <c r="C482" s="73">
        <v>16</v>
      </c>
      <c r="D482" s="73">
        <v>18.43</v>
      </c>
      <c r="F482" s="71">
        <v>540</v>
      </c>
      <c r="H482" s="72">
        <v>16.579999999999998</v>
      </c>
      <c r="I482" s="71" t="s">
        <v>139</v>
      </c>
      <c r="R482" s="71">
        <v>540</v>
      </c>
      <c r="T482" s="72">
        <v>16.579999999999998</v>
      </c>
      <c r="U482" s="71" t="s">
        <v>139</v>
      </c>
    </row>
    <row r="483" spans="1:21" x14ac:dyDescent="0.55000000000000004">
      <c r="A483" s="71">
        <v>718</v>
      </c>
      <c r="C483" s="75">
        <v>16</v>
      </c>
      <c r="D483" s="75"/>
      <c r="F483" s="71">
        <v>540</v>
      </c>
      <c r="H483" s="72">
        <v>16.59</v>
      </c>
      <c r="I483" s="71" t="s">
        <v>139</v>
      </c>
      <c r="R483" s="71">
        <v>540</v>
      </c>
      <c r="T483" s="72">
        <v>16.59</v>
      </c>
      <c r="U483" s="71" t="s">
        <v>139</v>
      </c>
    </row>
    <row r="484" spans="1:21" x14ac:dyDescent="0.55000000000000004">
      <c r="A484" s="71">
        <v>540</v>
      </c>
      <c r="C484" s="73">
        <v>16.02</v>
      </c>
      <c r="F484" s="71">
        <v>540</v>
      </c>
      <c r="H484" s="72">
        <v>16.59</v>
      </c>
      <c r="I484" s="71" t="s">
        <v>139</v>
      </c>
      <c r="R484" s="71">
        <v>540</v>
      </c>
      <c r="T484" s="72">
        <v>16.59</v>
      </c>
      <c r="U484" s="71" t="s">
        <v>139</v>
      </c>
    </row>
    <row r="485" spans="1:21" x14ac:dyDescent="0.55000000000000004">
      <c r="A485" s="71">
        <v>268</v>
      </c>
      <c r="C485" s="73">
        <v>16.05</v>
      </c>
      <c r="D485" s="73">
        <v>25.426600000000001</v>
      </c>
      <c r="F485" s="71">
        <v>540</v>
      </c>
      <c r="H485" s="72">
        <v>16.59</v>
      </c>
      <c r="I485" s="71" t="s">
        <v>139</v>
      </c>
      <c r="R485" s="71">
        <v>540</v>
      </c>
      <c r="T485" s="72">
        <v>16.59</v>
      </c>
      <c r="U485" s="71" t="s">
        <v>139</v>
      </c>
    </row>
    <row r="486" spans="1:21" x14ac:dyDescent="0.55000000000000004">
      <c r="A486" s="71">
        <v>268</v>
      </c>
      <c r="C486" s="73">
        <v>16.05</v>
      </c>
      <c r="D486" s="73">
        <v>21.556000000000001</v>
      </c>
      <c r="F486" s="71">
        <v>540</v>
      </c>
      <c r="H486" s="72">
        <v>16.62</v>
      </c>
      <c r="I486" s="71" t="s">
        <v>139</v>
      </c>
      <c r="R486" s="71">
        <v>540</v>
      </c>
      <c r="T486" s="72">
        <v>16.62</v>
      </c>
      <c r="U486" s="71" t="s">
        <v>139</v>
      </c>
    </row>
    <row r="487" spans="1:21" x14ac:dyDescent="0.55000000000000004">
      <c r="A487" s="71">
        <v>268</v>
      </c>
      <c r="C487" s="73">
        <v>16.05</v>
      </c>
      <c r="D487" s="73">
        <v>25.42</v>
      </c>
      <c r="F487" s="71">
        <v>540</v>
      </c>
      <c r="H487" s="72">
        <v>16.89</v>
      </c>
      <c r="I487" s="71" t="s">
        <v>139</v>
      </c>
      <c r="R487" s="71">
        <v>540</v>
      </c>
      <c r="T487" s="72">
        <v>16.89</v>
      </c>
      <c r="U487" s="71" t="s">
        <v>139</v>
      </c>
    </row>
    <row r="488" spans="1:21" x14ac:dyDescent="0.55000000000000004">
      <c r="A488" s="71">
        <v>268</v>
      </c>
      <c r="C488" s="73">
        <v>16.05</v>
      </c>
      <c r="D488" s="73">
        <v>21.155200000000001</v>
      </c>
      <c r="F488" s="71">
        <v>540</v>
      </c>
      <c r="H488" s="72">
        <v>17.010000000000002</v>
      </c>
      <c r="I488" s="71" t="s">
        <v>139</v>
      </c>
      <c r="R488" s="71">
        <v>540</v>
      </c>
      <c r="T488" s="72">
        <v>17.010000000000002</v>
      </c>
      <c r="U488" s="71" t="s">
        <v>139</v>
      </c>
    </row>
    <row r="489" spans="1:21" x14ac:dyDescent="0.55000000000000004">
      <c r="A489" s="71">
        <v>268</v>
      </c>
      <c r="C489" s="73">
        <v>16.05</v>
      </c>
      <c r="F489" s="71">
        <v>540</v>
      </c>
      <c r="H489" s="72">
        <v>17.239999999999998</v>
      </c>
      <c r="I489" s="71" t="s">
        <v>139</v>
      </c>
      <c r="R489" s="71">
        <v>540</v>
      </c>
      <c r="T489" s="72">
        <v>17.239999999999998</v>
      </c>
      <c r="U489" s="71" t="s">
        <v>139</v>
      </c>
    </row>
    <row r="490" spans="1:21" x14ac:dyDescent="0.55000000000000004">
      <c r="A490" s="71">
        <v>268</v>
      </c>
      <c r="C490" s="73">
        <v>16.05</v>
      </c>
      <c r="F490" s="71">
        <v>540</v>
      </c>
      <c r="H490" s="72">
        <v>17.95</v>
      </c>
      <c r="I490" s="71" t="s">
        <v>139</v>
      </c>
      <c r="R490" s="71">
        <v>540</v>
      </c>
      <c r="T490" s="72">
        <v>17.95</v>
      </c>
      <c r="U490" s="71" t="s">
        <v>139</v>
      </c>
    </row>
    <row r="491" spans="1:21" x14ac:dyDescent="0.55000000000000004">
      <c r="A491" s="71">
        <v>268</v>
      </c>
      <c r="C491" s="73">
        <v>16.05</v>
      </c>
      <c r="D491" s="73">
        <v>19.87</v>
      </c>
      <c r="F491" s="71">
        <v>540</v>
      </c>
      <c r="H491" s="72">
        <v>17.97</v>
      </c>
      <c r="I491" s="71" t="s">
        <v>139</v>
      </c>
      <c r="R491" s="71">
        <v>540</v>
      </c>
      <c r="T491" s="72">
        <v>17.97</v>
      </c>
      <c r="U491" s="71" t="s">
        <v>139</v>
      </c>
    </row>
    <row r="492" spans="1:21" x14ac:dyDescent="0.55000000000000004">
      <c r="A492" s="71">
        <v>268</v>
      </c>
      <c r="C492" s="73">
        <v>16.05</v>
      </c>
      <c r="D492" s="73">
        <v>21</v>
      </c>
      <c r="F492" s="71">
        <v>540</v>
      </c>
      <c r="H492" s="72">
        <v>18.18</v>
      </c>
      <c r="I492" s="71" t="s">
        <v>139</v>
      </c>
      <c r="R492" s="71">
        <v>540</v>
      </c>
      <c r="T492" s="72">
        <v>18.18</v>
      </c>
      <c r="U492" s="71" t="s">
        <v>139</v>
      </c>
    </row>
    <row r="493" spans="1:21" x14ac:dyDescent="0.55000000000000004">
      <c r="A493" s="71">
        <v>268</v>
      </c>
      <c r="C493" s="73">
        <v>16.05</v>
      </c>
      <c r="D493" s="73">
        <v>17.5</v>
      </c>
      <c r="F493" s="71">
        <v>540</v>
      </c>
      <c r="H493" s="72">
        <v>18.98</v>
      </c>
      <c r="I493" s="71" t="s">
        <v>139</v>
      </c>
      <c r="R493" s="71">
        <v>540</v>
      </c>
      <c r="T493" s="72">
        <v>18.98</v>
      </c>
      <c r="U493" s="71" t="s">
        <v>139</v>
      </c>
    </row>
    <row r="494" spans="1:21" x14ac:dyDescent="0.55000000000000004">
      <c r="A494" s="71">
        <v>268</v>
      </c>
      <c r="C494" s="73">
        <v>16.05</v>
      </c>
      <c r="D494" s="73">
        <v>18.350000000000001</v>
      </c>
      <c r="F494" s="71">
        <v>540</v>
      </c>
      <c r="H494" s="72">
        <v>18.98</v>
      </c>
      <c r="I494" s="71" t="s">
        <v>139</v>
      </c>
      <c r="R494" s="71">
        <v>540</v>
      </c>
      <c r="T494" s="72">
        <v>18.98</v>
      </c>
      <c r="U494" s="71" t="s">
        <v>139</v>
      </c>
    </row>
    <row r="495" spans="1:21" x14ac:dyDescent="0.55000000000000004">
      <c r="A495" s="71">
        <v>268</v>
      </c>
      <c r="C495" s="73">
        <v>16.05</v>
      </c>
      <c r="F495" s="71">
        <v>540</v>
      </c>
      <c r="H495" s="72">
        <v>19.059999999999999</v>
      </c>
      <c r="I495" s="71" t="s">
        <v>139</v>
      </c>
      <c r="R495" s="71">
        <v>540</v>
      </c>
      <c r="T495" s="72">
        <v>19.059999999999999</v>
      </c>
      <c r="U495" s="71" t="s">
        <v>139</v>
      </c>
    </row>
    <row r="496" spans="1:21" x14ac:dyDescent="0.55000000000000004">
      <c r="A496" s="71">
        <v>268</v>
      </c>
      <c r="C496" s="73">
        <v>16.05</v>
      </c>
      <c r="F496" s="71">
        <v>540</v>
      </c>
      <c r="H496" s="72">
        <v>19.27</v>
      </c>
      <c r="I496" s="71" t="s">
        <v>139</v>
      </c>
      <c r="R496" s="71">
        <v>540</v>
      </c>
      <c r="T496" s="72">
        <v>19.27</v>
      </c>
      <c r="U496" s="71" t="s">
        <v>139</v>
      </c>
    </row>
    <row r="497" spans="1:21" x14ac:dyDescent="0.55000000000000004">
      <c r="A497" s="71">
        <v>268</v>
      </c>
      <c r="C497" s="73">
        <v>16.05</v>
      </c>
      <c r="F497" s="71">
        <v>540</v>
      </c>
      <c r="H497" s="72">
        <v>20.41</v>
      </c>
      <c r="I497" s="71" t="s">
        <v>139</v>
      </c>
      <c r="R497" s="71">
        <v>540</v>
      </c>
      <c r="T497" s="72">
        <v>20.41</v>
      </c>
      <c r="U497" s="71" t="s">
        <v>139</v>
      </c>
    </row>
    <row r="498" spans="1:21" x14ac:dyDescent="0.55000000000000004">
      <c r="A498" s="71">
        <v>268</v>
      </c>
      <c r="C498" s="73">
        <v>16.05</v>
      </c>
      <c r="F498" s="71">
        <v>540</v>
      </c>
      <c r="H498" s="72">
        <v>20.41</v>
      </c>
      <c r="I498" s="71" t="s">
        <v>139</v>
      </c>
      <c r="R498" s="71">
        <v>540</v>
      </c>
      <c r="T498" s="72">
        <v>20.41</v>
      </c>
      <c r="U498" s="71" t="s">
        <v>139</v>
      </c>
    </row>
    <row r="499" spans="1:21" x14ac:dyDescent="0.55000000000000004">
      <c r="A499" s="71">
        <v>268</v>
      </c>
      <c r="C499" s="73">
        <v>16.05</v>
      </c>
      <c r="F499" s="71">
        <v>540</v>
      </c>
      <c r="H499" s="72">
        <v>21.63</v>
      </c>
      <c r="I499" s="71" t="s">
        <v>139</v>
      </c>
      <c r="R499" s="71">
        <v>540</v>
      </c>
      <c r="T499" s="72">
        <v>21.63</v>
      </c>
      <c r="U499" s="71" t="s">
        <v>139</v>
      </c>
    </row>
    <row r="500" spans="1:21" x14ac:dyDescent="0.55000000000000004">
      <c r="A500" s="71">
        <v>268</v>
      </c>
      <c r="C500" s="73">
        <v>16.05</v>
      </c>
      <c r="F500" s="71">
        <v>542</v>
      </c>
      <c r="H500" s="72">
        <v>16.309999999999999</v>
      </c>
      <c r="I500" s="71" t="s">
        <v>139</v>
      </c>
      <c r="R500" s="71">
        <v>542</v>
      </c>
      <c r="T500" s="72">
        <v>16.309999999999999</v>
      </c>
      <c r="U500" s="71" t="s">
        <v>139</v>
      </c>
    </row>
    <row r="501" spans="1:21" x14ac:dyDescent="0.55000000000000004">
      <c r="A501" s="71">
        <v>268</v>
      </c>
      <c r="C501" s="73">
        <v>16.05</v>
      </c>
      <c r="F501" s="71">
        <v>542</v>
      </c>
      <c r="H501" s="72">
        <v>16.309999999999999</v>
      </c>
      <c r="I501" s="71" t="s">
        <v>139</v>
      </c>
      <c r="R501" s="71">
        <v>542</v>
      </c>
      <c r="T501" s="72">
        <v>16.309999999999999</v>
      </c>
      <c r="U501" s="71" t="s">
        <v>139</v>
      </c>
    </row>
    <row r="502" spans="1:21" x14ac:dyDescent="0.55000000000000004">
      <c r="A502" s="71">
        <v>268</v>
      </c>
      <c r="C502" s="73">
        <v>16.05</v>
      </c>
      <c r="D502" s="73">
        <v>19.850000000000001</v>
      </c>
      <c r="F502" s="71">
        <v>542</v>
      </c>
      <c r="H502" s="72">
        <v>16.309999999999999</v>
      </c>
      <c r="I502" s="71" t="s">
        <v>139</v>
      </c>
      <c r="R502" s="71">
        <v>542</v>
      </c>
      <c r="T502" s="72">
        <v>16.309999999999999</v>
      </c>
      <c r="U502" s="71" t="s">
        <v>139</v>
      </c>
    </row>
    <row r="503" spans="1:21" x14ac:dyDescent="0.55000000000000004">
      <c r="A503" s="71">
        <v>268</v>
      </c>
      <c r="C503" s="73">
        <v>16.05</v>
      </c>
      <c r="D503" s="73">
        <v>21.25</v>
      </c>
      <c r="F503" s="71">
        <v>542</v>
      </c>
      <c r="H503" s="72">
        <v>16.309999999999999</v>
      </c>
      <c r="I503" s="71" t="s">
        <v>139</v>
      </c>
      <c r="R503" s="71">
        <v>542</v>
      </c>
      <c r="T503" s="72">
        <v>16.309999999999999</v>
      </c>
      <c r="U503" s="71" t="s">
        <v>139</v>
      </c>
    </row>
    <row r="504" spans="1:21" x14ac:dyDescent="0.55000000000000004">
      <c r="A504" s="71">
        <v>268</v>
      </c>
      <c r="C504" s="73">
        <v>16.05</v>
      </c>
      <c r="D504" s="73">
        <v>19.68</v>
      </c>
      <c r="F504" s="71">
        <v>542</v>
      </c>
      <c r="H504" s="72">
        <v>16.309999999999999</v>
      </c>
      <c r="I504" s="71" t="s">
        <v>139</v>
      </c>
      <c r="R504" s="71">
        <v>542</v>
      </c>
      <c r="T504" s="72">
        <v>16.309999999999999</v>
      </c>
      <c r="U504" s="71" t="s">
        <v>139</v>
      </c>
    </row>
    <row r="505" spans="1:21" x14ac:dyDescent="0.55000000000000004">
      <c r="A505" s="71">
        <v>268</v>
      </c>
      <c r="C505" s="73">
        <v>16.05</v>
      </c>
      <c r="F505" s="71">
        <v>542</v>
      </c>
      <c r="H505" s="72">
        <v>16.309999999999999</v>
      </c>
      <c r="I505" s="71" t="s">
        <v>139</v>
      </c>
      <c r="R505" s="71">
        <v>542</v>
      </c>
      <c r="T505" s="72">
        <v>16.309999999999999</v>
      </c>
      <c r="U505" s="71" t="s">
        <v>139</v>
      </c>
    </row>
    <row r="506" spans="1:21" x14ac:dyDescent="0.55000000000000004">
      <c r="A506" s="71">
        <v>268</v>
      </c>
      <c r="C506" s="73">
        <v>16.05</v>
      </c>
      <c r="F506" s="71">
        <v>542</v>
      </c>
      <c r="H506" s="72">
        <v>16.309999999999999</v>
      </c>
      <c r="I506" s="71" t="s">
        <v>139</v>
      </c>
      <c r="R506" s="71">
        <v>542</v>
      </c>
      <c r="T506" s="72">
        <v>16.309999999999999</v>
      </c>
      <c r="U506" s="71" t="s">
        <v>139</v>
      </c>
    </row>
    <row r="507" spans="1:21" x14ac:dyDescent="0.55000000000000004">
      <c r="A507" s="71">
        <v>268</v>
      </c>
      <c r="C507" s="73">
        <v>16.05</v>
      </c>
      <c r="F507" s="71">
        <v>542</v>
      </c>
      <c r="H507" s="72">
        <v>16.309999999999999</v>
      </c>
      <c r="I507" s="71" t="s">
        <v>139</v>
      </c>
      <c r="R507" s="71">
        <v>542</v>
      </c>
      <c r="T507" s="72">
        <v>16.309999999999999</v>
      </c>
      <c r="U507" s="71" t="s">
        <v>139</v>
      </c>
    </row>
    <row r="508" spans="1:21" x14ac:dyDescent="0.55000000000000004">
      <c r="A508" s="71">
        <v>268</v>
      </c>
      <c r="C508" s="73">
        <v>16.05</v>
      </c>
      <c r="F508" s="71">
        <v>542</v>
      </c>
      <c r="H508" s="72">
        <v>16.309999999999999</v>
      </c>
      <c r="I508" s="71" t="s">
        <v>139</v>
      </c>
      <c r="R508" s="71">
        <v>542</v>
      </c>
      <c r="T508" s="72">
        <v>16.309999999999999</v>
      </c>
      <c r="U508" s="71" t="s">
        <v>139</v>
      </c>
    </row>
    <row r="509" spans="1:21" x14ac:dyDescent="0.55000000000000004">
      <c r="A509" s="71">
        <v>268</v>
      </c>
      <c r="C509" s="73">
        <v>16.05</v>
      </c>
      <c r="F509" s="71">
        <v>542</v>
      </c>
      <c r="H509" s="72">
        <v>16.309999999999999</v>
      </c>
      <c r="I509" s="71" t="s">
        <v>139</v>
      </c>
      <c r="R509" s="71">
        <v>542</v>
      </c>
      <c r="T509" s="72">
        <v>16.309999999999999</v>
      </c>
      <c r="U509" s="71" t="s">
        <v>139</v>
      </c>
    </row>
    <row r="510" spans="1:21" x14ac:dyDescent="0.55000000000000004">
      <c r="A510" s="71">
        <v>268</v>
      </c>
      <c r="C510" s="73">
        <v>16.05</v>
      </c>
      <c r="F510" s="71">
        <v>542</v>
      </c>
      <c r="H510" s="72">
        <v>16.309999999999999</v>
      </c>
      <c r="I510" s="71" t="s">
        <v>139</v>
      </c>
      <c r="R510" s="71">
        <v>542</v>
      </c>
      <c r="T510" s="72">
        <v>16.309999999999999</v>
      </c>
      <c r="U510" s="71" t="s">
        <v>139</v>
      </c>
    </row>
    <row r="511" spans="1:21" x14ac:dyDescent="0.55000000000000004">
      <c r="A511" s="71">
        <v>268</v>
      </c>
      <c r="C511" s="73">
        <v>16.05</v>
      </c>
      <c r="F511" s="71">
        <v>542</v>
      </c>
      <c r="H511" s="72">
        <v>16.309999999999999</v>
      </c>
      <c r="I511" s="71" t="s">
        <v>139</v>
      </c>
      <c r="R511" s="71">
        <v>542</v>
      </c>
      <c r="T511" s="72">
        <v>16.309999999999999</v>
      </c>
      <c r="U511" s="71" t="s">
        <v>139</v>
      </c>
    </row>
    <row r="512" spans="1:21" x14ac:dyDescent="0.55000000000000004">
      <c r="A512" s="71">
        <v>584</v>
      </c>
      <c r="C512" s="73">
        <v>16.05</v>
      </c>
      <c r="F512" s="71">
        <v>542</v>
      </c>
      <c r="H512" s="72">
        <v>16.309999999999999</v>
      </c>
      <c r="I512" s="71" t="s">
        <v>139</v>
      </c>
      <c r="R512" s="71">
        <v>542</v>
      </c>
      <c r="T512" s="72">
        <v>16.309999999999999</v>
      </c>
      <c r="U512" s="71" t="s">
        <v>139</v>
      </c>
    </row>
    <row r="513" spans="1:21" x14ac:dyDescent="0.55000000000000004">
      <c r="A513" s="71">
        <v>584</v>
      </c>
      <c r="C513" s="73">
        <v>16.05</v>
      </c>
      <c r="F513" s="71">
        <v>542</v>
      </c>
      <c r="H513" s="72">
        <v>16.309999999999999</v>
      </c>
      <c r="I513" s="71" t="s">
        <v>139</v>
      </c>
      <c r="R513" s="71">
        <v>542</v>
      </c>
      <c r="T513" s="72">
        <v>16.309999999999999</v>
      </c>
      <c r="U513" s="71" t="s">
        <v>139</v>
      </c>
    </row>
    <row r="514" spans="1:21" x14ac:dyDescent="0.55000000000000004">
      <c r="A514" s="71">
        <v>584</v>
      </c>
      <c r="C514" s="73">
        <v>16.05</v>
      </c>
      <c r="F514" s="71">
        <v>542</v>
      </c>
      <c r="H514" s="72">
        <v>16.309999999999999</v>
      </c>
      <c r="I514" s="71" t="s">
        <v>139</v>
      </c>
      <c r="R514" s="71">
        <v>542</v>
      </c>
      <c r="T514" s="72">
        <v>16.309999999999999</v>
      </c>
      <c r="U514" s="71" t="s">
        <v>139</v>
      </c>
    </row>
    <row r="515" spans="1:21" x14ac:dyDescent="0.55000000000000004">
      <c r="A515" s="71">
        <v>584</v>
      </c>
      <c r="C515" s="73">
        <v>16.05</v>
      </c>
      <c r="F515" s="71">
        <v>542</v>
      </c>
      <c r="H515" s="72">
        <v>16.309999999999999</v>
      </c>
      <c r="I515" s="71" t="s">
        <v>139</v>
      </c>
      <c r="R515" s="71">
        <v>542</v>
      </c>
      <c r="T515" s="72">
        <v>16.309999999999999</v>
      </c>
      <c r="U515" s="71" t="s">
        <v>139</v>
      </c>
    </row>
    <row r="516" spans="1:21" x14ac:dyDescent="0.55000000000000004">
      <c r="A516" s="71">
        <v>584</v>
      </c>
      <c r="C516" s="73">
        <v>16.05</v>
      </c>
      <c r="F516" s="71">
        <v>542</v>
      </c>
      <c r="H516" s="72">
        <v>16.309999999999999</v>
      </c>
      <c r="I516" s="71" t="s">
        <v>139</v>
      </c>
      <c r="R516" s="71">
        <v>542</v>
      </c>
      <c r="T516" s="72">
        <v>16.309999999999999</v>
      </c>
      <c r="U516" s="71" t="s">
        <v>139</v>
      </c>
    </row>
    <row r="517" spans="1:21" x14ac:dyDescent="0.55000000000000004">
      <c r="A517" s="71">
        <v>712</v>
      </c>
      <c r="C517" s="73">
        <v>16.059999999999999</v>
      </c>
      <c r="F517" s="71">
        <v>542</v>
      </c>
      <c r="H517" s="72">
        <v>16.309999999999999</v>
      </c>
      <c r="I517" s="71" t="s">
        <v>139</v>
      </c>
      <c r="R517" s="71">
        <v>542</v>
      </c>
      <c r="T517" s="72">
        <v>16.309999999999999</v>
      </c>
      <c r="U517" s="71" t="s">
        <v>139</v>
      </c>
    </row>
    <row r="518" spans="1:21" x14ac:dyDescent="0.55000000000000004">
      <c r="A518" s="71">
        <v>712</v>
      </c>
      <c r="C518" s="73">
        <v>16.059999999999999</v>
      </c>
      <c r="F518" s="71">
        <v>542</v>
      </c>
      <c r="H518" s="72">
        <v>16.309999999999999</v>
      </c>
      <c r="I518" s="71" t="s">
        <v>139</v>
      </c>
      <c r="R518" s="71">
        <v>542</v>
      </c>
      <c r="T518" s="72">
        <v>16.309999999999999</v>
      </c>
      <c r="U518" s="71" t="s">
        <v>139</v>
      </c>
    </row>
    <row r="519" spans="1:21" x14ac:dyDescent="0.55000000000000004">
      <c r="A519" s="71">
        <v>712</v>
      </c>
      <c r="C519" s="73">
        <v>16.059999999999999</v>
      </c>
      <c r="F519" s="71">
        <v>542</v>
      </c>
      <c r="H519" s="72">
        <v>17.809999999999999</v>
      </c>
      <c r="I519" s="71" t="s">
        <v>139</v>
      </c>
      <c r="R519" s="71">
        <v>542</v>
      </c>
      <c r="T519" s="72">
        <v>17.809999999999999</v>
      </c>
      <c r="U519" s="71" t="s">
        <v>139</v>
      </c>
    </row>
    <row r="520" spans="1:21" x14ac:dyDescent="0.55000000000000004">
      <c r="A520" s="71">
        <v>962</v>
      </c>
      <c r="C520" s="73">
        <v>16.079999999999998</v>
      </c>
      <c r="F520" s="71">
        <v>542</v>
      </c>
      <c r="H520" s="72">
        <v>18.190000000000001</v>
      </c>
      <c r="I520" s="71" t="s">
        <v>139</v>
      </c>
      <c r="R520" s="71">
        <v>542</v>
      </c>
      <c r="T520" s="72">
        <v>18.190000000000001</v>
      </c>
      <c r="U520" s="71" t="s">
        <v>139</v>
      </c>
    </row>
    <row r="521" spans="1:21" x14ac:dyDescent="0.55000000000000004">
      <c r="A521" s="71">
        <v>540</v>
      </c>
      <c r="C521" s="73">
        <v>16.079999999999998</v>
      </c>
      <c r="F521" s="71">
        <v>542</v>
      </c>
      <c r="H521" s="72">
        <v>20.09</v>
      </c>
      <c r="I521" s="71" t="s">
        <v>139</v>
      </c>
      <c r="R521" s="71">
        <v>542</v>
      </c>
      <c r="T521" s="72">
        <v>20.09</v>
      </c>
      <c r="U521" s="71" t="s">
        <v>139</v>
      </c>
    </row>
    <row r="522" spans="1:21" x14ac:dyDescent="0.55000000000000004">
      <c r="A522" s="71">
        <v>690</v>
      </c>
      <c r="C522" s="73">
        <v>16.100000000000001</v>
      </c>
      <c r="F522" s="71">
        <v>543</v>
      </c>
      <c r="H522" s="72">
        <v>13.23</v>
      </c>
      <c r="I522" s="71" t="s">
        <v>139</v>
      </c>
      <c r="R522" s="71">
        <v>543</v>
      </c>
      <c r="T522" s="72">
        <v>13.23</v>
      </c>
      <c r="U522" s="71" t="s">
        <v>139</v>
      </c>
    </row>
    <row r="523" spans="1:21" x14ac:dyDescent="0.55000000000000004">
      <c r="A523" s="71">
        <v>644</v>
      </c>
      <c r="C523" s="73">
        <v>16.12</v>
      </c>
      <c r="D523" s="73">
        <v>20.32</v>
      </c>
      <c r="F523" s="71">
        <v>543</v>
      </c>
      <c r="H523" s="72">
        <v>13.44</v>
      </c>
      <c r="I523" s="71" t="s">
        <v>139</v>
      </c>
      <c r="R523" s="71">
        <v>543</v>
      </c>
      <c r="T523" s="72">
        <v>13.44</v>
      </c>
      <c r="U523" s="71" t="s">
        <v>139</v>
      </c>
    </row>
    <row r="524" spans="1:21" x14ac:dyDescent="0.55000000000000004">
      <c r="A524" s="71">
        <v>452</v>
      </c>
      <c r="C524" s="73">
        <v>16.13</v>
      </c>
      <c r="D524" s="73">
        <v>19.920000000000002</v>
      </c>
      <c r="F524" s="71">
        <v>543</v>
      </c>
      <c r="H524" s="72">
        <v>13.44</v>
      </c>
      <c r="I524" s="71" t="s">
        <v>139</v>
      </c>
      <c r="R524" s="71">
        <v>543</v>
      </c>
      <c r="T524" s="72">
        <v>13.44</v>
      </c>
      <c r="U524" s="71" t="s">
        <v>139</v>
      </c>
    </row>
    <row r="525" spans="1:21" x14ac:dyDescent="0.55000000000000004">
      <c r="A525" s="71">
        <v>540</v>
      </c>
      <c r="C525" s="73">
        <v>16.14</v>
      </c>
      <c r="D525" s="73">
        <v>18.78</v>
      </c>
      <c r="F525" s="71">
        <v>543</v>
      </c>
      <c r="H525" s="72">
        <v>16.38</v>
      </c>
      <c r="I525" s="71" t="s">
        <v>139</v>
      </c>
      <c r="R525" s="71">
        <v>543</v>
      </c>
      <c r="T525" s="72">
        <v>16.38</v>
      </c>
      <c r="U525" s="71" t="s">
        <v>139</v>
      </c>
    </row>
    <row r="526" spans="1:21" x14ac:dyDescent="0.55000000000000004">
      <c r="A526" s="71">
        <v>926</v>
      </c>
      <c r="C526" s="73">
        <v>16.149999999999999</v>
      </c>
      <c r="D526" s="73">
        <v>18.41</v>
      </c>
      <c r="F526" s="71">
        <v>543</v>
      </c>
      <c r="H526" s="72">
        <v>16.54</v>
      </c>
      <c r="I526" s="71" t="s">
        <v>139</v>
      </c>
      <c r="R526" s="71">
        <v>543</v>
      </c>
      <c r="T526" s="72">
        <v>16.54</v>
      </c>
      <c r="U526" s="71" t="s">
        <v>139</v>
      </c>
    </row>
    <row r="527" spans="1:21" x14ac:dyDescent="0.55000000000000004">
      <c r="A527" s="71">
        <v>756</v>
      </c>
      <c r="C527" s="75">
        <v>16.16</v>
      </c>
      <c r="D527" s="75">
        <v>18.41</v>
      </c>
      <c r="F527" s="71">
        <v>550</v>
      </c>
      <c r="H527" s="72">
        <v>17.36</v>
      </c>
      <c r="I527" s="71" t="s">
        <v>139</v>
      </c>
      <c r="R527" s="71">
        <v>550</v>
      </c>
      <c r="T527" s="72">
        <v>17.36</v>
      </c>
      <c r="U527" s="71" t="s">
        <v>139</v>
      </c>
    </row>
    <row r="528" spans="1:21" x14ac:dyDescent="0.55000000000000004">
      <c r="A528" s="71">
        <v>718</v>
      </c>
      <c r="C528" s="75">
        <v>16.16</v>
      </c>
      <c r="D528" s="75">
        <v>17.329999999999998</v>
      </c>
      <c r="F528" s="71">
        <v>550</v>
      </c>
      <c r="H528" s="72">
        <v>17.36</v>
      </c>
      <c r="I528" s="71" t="s">
        <v>139</v>
      </c>
      <c r="R528" s="71">
        <v>550</v>
      </c>
      <c r="T528" s="72">
        <v>17.36</v>
      </c>
      <c r="U528" s="71" t="s">
        <v>139</v>
      </c>
    </row>
    <row r="529" spans="1:21" x14ac:dyDescent="0.55000000000000004">
      <c r="A529" s="71">
        <v>540</v>
      </c>
      <c r="C529" s="73">
        <v>16.16</v>
      </c>
      <c r="D529" s="73">
        <v>17</v>
      </c>
      <c r="F529" s="71">
        <v>550</v>
      </c>
      <c r="H529" s="72">
        <v>17.36</v>
      </c>
      <c r="I529" s="71" t="s">
        <v>139</v>
      </c>
      <c r="R529" s="71">
        <v>550</v>
      </c>
      <c r="T529" s="72">
        <v>17.36</v>
      </c>
      <c r="U529" s="71" t="s">
        <v>139</v>
      </c>
    </row>
    <row r="530" spans="1:21" x14ac:dyDescent="0.55000000000000004">
      <c r="A530" s="71">
        <v>540</v>
      </c>
      <c r="C530" s="73">
        <v>16.18</v>
      </c>
      <c r="F530" s="71">
        <v>550</v>
      </c>
      <c r="H530" s="72">
        <v>17.36</v>
      </c>
      <c r="I530" s="71" t="s">
        <v>139</v>
      </c>
      <c r="R530" s="71">
        <v>550</v>
      </c>
      <c r="T530" s="72">
        <v>17.36</v>
      </c>
      <c r="U530" s="71" t="s">
        <v>139</v>
      </c>
    </row>
    <row r="531" spans="1:21" x14ac:dyDescent="0.55000000000000004">
      <c r="A531" s="71">
        <v>315</v>
      </c>
      <c r="C531" s="73">
        <v>16.18</v>
      </c>
      <c r="F531" s="71">
        <v>550</v>
      </c>
      <c r="H531" s="72">
        <v>17.36</v>
      </c>
      <c r="I531" s="71" t="s">
        <v>139</v>
      </c>
      <c r="R531" s="71">
        <v>550</v>
      </c>
      <c r="T531" s="72">
        <v>17.36</v>
      </c>
      <c r="U531" s="71" t="s">
        <v>139</v>
      </c>
    </row>
    <row r="532" spans="1:21" x14ac:dyDescent="0.55000000000000004">
      <c r="A532" s="71">
        <v>315</v>
      </c>
      <c r="C532" s="73">
        <v>16.18</v>
      </c>
      <c r="F532" s="71">
        <v>550</v>
      </c>
      <c r="H532" s="72">
        <v>17.36</v>
      </c>
      <c r="I532" s="71" t="s">
        <v>139</v>
      </c>
      <c r="R532" s="71">
        <v>550</v>
      </c>
      <c r="T532" s="72">
        <v>17.36</v>
      </c>
      <c r="U532" s="71" t="s">
        <v>139</v>
      </c>
    </row>
    <row r="533" spans="1:21" x14ac:dyDescent="0.55000000000000004">
      <c r="A533" s="71">
        <v>528</v>
      </c>
      <c r="C533" s="73">
        <v>16.2</v>
      </c>
      <c r="F533" s="71">
        <v>550</v>
      </c>
      <c r="H533" s="72">
        <v>17.88</v>
      </c>
      <c r="I533" s="71" t="s">
        <v>139</v>
      </c>
      <c r="R533" s="71">
        <v>550</v>
      </c>
      <c r="T533" s="72">
        <v>17.88</v>
      </c>
      <c r="U533" s="71" t="s">
        <v>139</v>
      </c>
    </row>
    <row r="534" spans="1:21" x14ac:dyDescent="0.55000000000000004">
      <c r="A534" s="71">
        <v>528</v>
      </c>
      <c r="C534" s="73">
        <v>16.2</v>
      </c>
      <c r="F534" s="71">
        <v>550</v>
      </c>
      <c r="H534" s="72">
        <v>18.04</v>
      </c>
      <c r="I534" s="71" t="s">
        <v>139</v>
      </c>
      <c r="R534" s="71">
        <v>550</v>
      </c>
      <c r="T534" s="72">
        <v>18.04</v>
      </c>
      <c r="U534" s="71" t="s">
        <v>139</v>
      </c>
    </row>
    <row r="535" spans="1:21" x14ac:dyDescent="0.55000000000000004">
      <c r="A535" s="71">
        <v>528</v>
      </c>
      <c r="C535" s="73">
        <v>16.2</v>
      </c>
      <c r="F535" s="71">
        <v>550</v>
      </c>
      <c r="H535" s="72">
        <v>19.04</v>
      </c>
      <c r="I535" s="71" t="s">
        <v>139</v>
      </c>
      <c r="R535" s="71">
        <v>550</v>
      </c>
      <c r="T535" s="72">
        <v>19.04</v>
      </c>
      <c r="U535" s="71" t="s">
        <v>139</v>
      </c>
    </row>
    <row r="536" spans="1:21" x14ac:dyDescent="0.55000000000000004">
      <c r="A536" s="71">
        <v>528</v>
      </c>
      <c r="C536" s="73">
        <v>16.2</v>
      </c>
      <c r="F536" s="71">
        <v>555</v>
      </c>
      <c r="H536" s="72">
        <v>17</v>
      </c>
      <c r="I536" s="71" t="s">
        <v>139</v>
      </c>
      <c r="R536" s="71">
        <v>555</v>
      </c>
      <c r="T536" s="72">
        <v>17</v>
      </c>
      <c r="U536" s="71" t="s">
        <v>139</v>
      </c>
    </row>
    <row r="537" spans="1:21" x14ac:dyDescent="0.55000000000000004">
      <c r="A537" s="71">
        <v>528</v>
      </c>
      <c r="C537" s="73">
        <v>16.2</v>
      </c>
      <c r="F537" s="71">
        <v>555</v>
      </c>
      <c r="H537" s="72">
        <v>17</v>
      </c>
      <c r="I537" s="71" t="s">
        <v>139</v>
      </c>
      <c r="R537" s="71">
        <v>555</v>
      </c>
      <c r="T537" s="72">
        <v>17</v>
      </c>
      <c r="U537" s="71" t="s">
        <v>139</v>
      </c>
    </row>
    <row r="538" spans="1:21" x14ac:dyDescent="0.55000000000000004">
      <c r="A538" s="71">
        <v>528</v>
      </c>
      <c r="C538" s="73">
        <v>16.2</v>
      </c>
      <c r="F538" s="71">
        <v>555</v>
      </c>
      <c r="H538" s="72">
        <v>17.28</v>
      </c>
      <c r="I538" s="71" t="s">
        <v>139</v>
      </c>
      <c r="R538" s="71">
        <v>555</v>
      </c>
      <c r="T538" s="72">
        <v>17.28</v>
      </c>
      <c r="U538" s="71" t="s">
        <v>139</v>
      </c>
    </row>
    <row r="539" spans="1:21" x14ac:dyDescent="0.55000000000000004">
      <c r="A539" s="71">
        <v>528</v>
      </c>
      <c r="C539" s="73">
        <v>16.2</v>
      </c>
      <c r="F539" s="71">
        <v>555</v>
      </c>
      <c r="H539" s="72">
        <v>17.34</v>
      </c>
      <c r="I539" s="71" t="s">
        <v>139</v>
      </c>
      <c r="R539" s="71">
        <v>555</v>
      </c>
      <c r="T539" s="72">
        <v>17.34</v>
      </c>
      <c r="U539" s="71" t="s">
        <v>139</v>
      </c>
    </row>
    <row r="540" spans="1:21" x14ac:dyDescent="0.55000000000000004">
      <c r="A540" s="71">
        <v>178</v>
      </c>
      <c r="C540" s="73">
        <v>16.2</v>
      </c>
      <c r="F540" s="71">
        <v>555</v>
      </c>
      <c r="H540" s="72">
        <v>18.13</v>
      </c>
      <c r="I540" s="71" t="s">
        <v>139</v>
      </c>
      <c r="R540" s="71">
        <v>555</v>
      </c>
      <c r="T540" s="72">
        <v>18.13</v>
      </c>
      <c r="U540" s="71" t="s">
        <v>139</v>
      </c>
    </row>
    <row r="541" spans="1:21" x14ac:dyDescent="0.55000000000000004">
      <c r="A541" s="71">
        <v>178</v>
      </c>
      <c r="C541" s="73">
        <v>16.2</v>
      </c>
      <c r="F541" s="71">
        <v>555</v>
      </c>
      <c r="H541" s="72">
        <v>18.239999999999998</v>
      </c>
      <c r="I541" s="71" t="s">
        <v>139</v>
      </c>
      <c r="R541" s="71">
        <v>555</v>
      </c>
      <c r="T541" s="72">
        <v>18.239999999999998</v>
      </c>
      <c r="U541" s="71" t="s">
        <v>139</v>
      </c>
    </row>
    <row r="542" spans="1:21" x14ac:dyDescent="0.55000000000000004">
      <c r="A542" s="71">
        <v>178</v>
      </c>
      <c r="C542" s="73">
        <v>16.2</v>
      </c>
      <c r="F542" s="71">
        <v>555</v>
      </c>
      <c r="H542" s="72">
        <v>18.39</v>
      </c>
      <c r="I542" s="71" t="s">
        <v>139</v>
      </c>
      <c r="R542" s="71">
        <v>555</v>
      </c>
      <c r="T542" s="72">
        <v>18.39</v>
      </c>
      <c r="U542" s="71" t="s">
        <v>139</v>
      </c>
    </row>
    <row r="543" spans="1:21" x14ac:dyDescent="0.55000000000000004">
      <c r="A543" s="71">
        <v>178</v>
      </c>
      <c r="C543" s="73">
        <v>16.2</v>
      </c>
      <c r="F543" s="71">
        <v>555</v>
      </c>
      <c r="H543" s="72">
        <v>18.47</v>
      </c>
      <c r="I543" s="71" t="s">
        <v>139</v>
      </c>
      <c r="R543" s="71">
        <v>555</v>
      </c>
      <c r="T543" s="72">
        <v>18.47</v>
      </c>
      <c r="U543" s="71" t="s">
        <v>139</v>
      </c>
    </row>
    <row r="544" spans="1:21" x14ac:dyDescent="0.55000000000000004">
      <c r="A544" s="71">
        <v>178</v>
      </c>
      <c r="C544" s="73">
        <v>16.2</v>
      </c>
      <c r="F544" s="71">
        <v>555</v>
      </c>
      <c r="H544" s="72">
        <v>18.82</v>
      </c>
      <c r="I544" s="71" t="s">
        <v>139</v>
      </c>
      <c r="R544" s="71">
        <v>555</v>
      </c>
      <c r="T544" s="72">
        <v>18.82</v>
      </c>
      <c r="U544" s="71" t="s">
        <v>139</v>
      </c>
    </row>
    <row r="545" spans="1:21" x14ac:dyDescent="0.55000000000000004">
      <c r="A545" s="71">
        <v>178</v>
      </c>
      <c r="C545" s="73">
        <v>16.2</v>
      </c>
      <c r="F545" s="71">
        <v>555</v>
      </c>
      <c r="H545" s="72">
        <v>18.82</v>
      </c>
      <c r="I545" s="71" t="s">
        <v>139</v>
      </c>
      <c r="R545" s="71">
        <v>555</v>
      </c>
      <c r="T545" s="72">
        <v>18.82</v>
      </c>
      <c r="U545" s="71" t="s">
        <v>139</v>
      </c>
    </row>
    <row r="546" spans="1:21" x14ac:dyDescent="0.55000000000000004">
      <c r="A546" s="71">
        <v>178</v>
      </c>
      <c r="C546" s="73">
        <v>16.2</v>
      </c>
      <c r="F546" s="71">
        <v>555</v>
      </c>
      <c r="H546" s="72">
        <v>18.82</v>
      </c>
      <c r="I546" s="71" t="s">
        <v>139</v>
      </c>
      <c r="R546" s="71">
        <v>555</v>
      </c>
      <c r="T546" s="72">
        <v>18.82</v>
      </c>
      <c r="U546" s="71" t="s">
        <v>139</v>
      </c>
    </row>
    <row r="547" spans="1:21" x14ac:dyDescent="0.55000000000000004">
      <c r="A547" s="71">
        <v>178</v>
      </c>
      <c r="C547" s="73">
        <v>16.2</v>
      </c>
      <c r="F547" s="71">
        <v>555</v>
      </c>
      <c r="H547" s="72">
        <v>19.22</v>
      </c>
      <c r="I547" s="71" t="s">
        <v>139</v>
      </c>
      <c r="R547" s="71">
        <v>555</v>
      </c>
      <c r="T547" s="72">
        <v>19.22</v>
      </c>
      <c r="U547" s="71" t="s">
        <v>139</v>
      </c>
    </row>
    <row r="548" spans="1:21" x14ac:dyDescent="0.55000000000000004">
      <c r="A548" s="71">
        <v>178</v>
      </c>
      <c r="C548" s="73">
        <v>16.2</v>
      </c>
      <c r="F548" s="71">
        <v>555</v>
      </c>
      <c r="H548" s="72">
        <v>19.23</v>
      </c>
      <c r="I548" s="71" t="s">
        <v>139</v>
      </c>
      <c r="R548" s="71">
        <v>555</v>
      </c>
      <c r="T548" s="72">
        <v>19.23</v>
      </c>
      <c r="U548" s="71" t="s">
        <v>139</v>
      </c>
    </row>
    <row r="549" spans="1:21" x14ac:dyDescent="0.55000000000000004">
      <c r="A549" s="71">
        <v>178</v>
      </c>
      <c r="C549" s="73">
        <v>16.2</v>
      </c>
      <c r="F549" s="71">
        <v>555</v>
      </c>
      <c r="H549" s="72">
        <v>19.87</v>
      </c>
      <c r="I549" s="71" t="s">
        <v>139</v>
      </c>
      <c r="R549" s="71">
        <v>555</v>
      </c>
      <c r="T549" s="72">
        <v>19.87</v>
      </c>
      <c r="U549" s="71" t="s">
        <v>139</v>
      </c>
    </row>
    <row r="550" spans="1:21" x14ac:dyDescent="0.55000000000000004">
      <c r="A550" s="71">
        <v>178</v>
      </c>
      <c r="C550" s="73">
        <v>16.2</v>
      </c>
      <c r="F550" s="71">
        <v>555</v>
      </c>
      <c r="H550" s="72">
        <v>20.02</v>
      </c>
      <c r="I550" s="71" t="s">
        <v>139</v>
      </c>
      <c r="R550" s="71">
        <v>555</v>
      </c>
      <c r="T550" s="72">
        <v>20.02</v>
      </c>
      <c r="U550" s="71" t="s">
        <v>139</v>
      </c>
    </row>
    <row r="551" spans="1:21" x14ac:dyDescent="0.55000000000000004">
      <c r="A551" s="71">
        <v>178</v>
      </c>
      <c r="C551" s="73">
        <v>16.2</v>
      </c>
      <c r="F551" s="71">
        <v>555</v>
      </c>
      <c r="H551" s="72">
        <v>20.02</v>
      </c>
      <c r="I551" s="71" t="s">
        <v>139</v>
      </c>
      <c r="R551" s="71">
        <v>555</v>
      </c>
      <c r="T551" s="72">
        <v>20.02</v>
      </c>
      <c r="U551" s="71" t="s">
        <v>139</v>
      </c>
    </row>
    <row r="552" spans="1:21" x14ac:dyDescent="0.55000000000000004">
      <c r="A552" s="71">
        <v>178</v>
      </c>
      <c r="C552" s="73">
        <v>16.2</v>
      </c>
      <c r="F552" s="71">
        <v>555</v>
      </c>
      <c r="H552" s="72">
        <v>20.02</v>
      </c>
      <c r="I552" s="71" t="s">
        <v>139</v>
      </c>
      <c r="R552" s="71">
        <v>555</v>
      </c>
      <c r="T552" s="72">
        <v>20.02</v>
      </c>
      <c r="U552" s="71" t="s">
        <v>139</v>
      </c>
    </row>
    <row r="553" spans="1:21" x14ac:dyDescent="0.55000000000000004">
      <c r="A553" s="71">
        <v>178</v>
      </c>
      <c r="C553" s="73">
        <v>16.2</v>
      </c>
      <c r="F553" s="71">
        <v>555</v>
      </c>
      <c r="H553" s="72">
        <v>20.02</v>
      </c>
      <c r="I553" s="71" t="s">
        <v>139</v>
      </c>
      <c r="R553" s="71">
        <v>555</v>
      </c>
      <c r="T553" s="72">
        <v>20.02</v>
      </c>
      <c r="U553" s="71" t="s">
        <v>139</v>
      </c>
    </row>
    <row r="554" spans="1:21" x14ac:dyDescent="0.55000000000000004">
      <c r="A554" s="71">
        <v>178</v>
      </c>
      <c r="C554" s="73">
        <v>16.2</v>
      </c>
      <c r="F554" s="71">
        <v>555</v>
      </c>
      <c r="H554" s="72">
        <v>20.03</v>
      </c>
      <c r="I554" s="71" t="s">
        <v>139</v>
      </c>
      <c r="R554" s="71">
        <v>555</v>
      </c>
      <c r="T554" s="72">
        <v>20.03</v>
      </c>
      <c r="U554" s="71" t="s">
        <v>139</v>
      </c>
    </row>
    <row r="555" spans="1:21" x14ac:dyDescent="0.55000000000000004">
      <c r="A555" s="71">
        <v>178</v>
      </c>
      <c r="C555" s="73">
        <v>16.2</v>
      </c>
      <c r="F555" s="71">
        <v>555</v>
      </c>
      <c r="H555" s="72">
        <v>20.03</v>
      </c>
      <c r="I555" s="71" t="s">
        <v>139</v>
      </c>
      <c r="R555" s="71">
        <v>555</v>
      </c>
      <c r="T555" s="72">
        <v>20.03</v>
      </c>
      <c r="U555" s="71" t="s">
        <v>139</v>
      </c>
    </row>
    <row r="556" spans="1:21" x14ac:dyDescent="0.55000000000000004">
      <c r="A556" s="71">
        <v>178</v>
      </c>
      <c r="C556" s="73">
        <v>16.2</v>
      </c>
      <c r="F556" s="71">
        <v>555</v>
      </c>
      <c r="H556" s="72">
        <v>20.5</v>
      </c>
      <c r="I556" s="71" t="s">
        <v>139</v>
      </c>
      <c r="R556" s="71">
        <v>555</v>
      </c>
      <c r="T556" s="72">
        <v>20.5</v>
      </c>
      <c r="U556" s="71" t="s">
        <v>139</v>
      </c>
    </row>
    <row r="557" spans="1:21" x14ac:dyDescent="0.55000000000000004">
      <c r="A557" s="71">
        <v>178</v>
      </c>
      <c r="C557" s="73">
        <v>16.2</v>
      </c>
      <c r="D557" s="73">
        <v>16.89404</v>
      </c>
      <c r="F557" s="71">
        <v>558</v>
      </c>
      <c r="H557" s="72">
        <v>16</v>
      </c>
      <c r="I557" s="71" t="s">
        <v>139</v>
      </c>
      <c r="R557" s="71">
        <v>558</v>
      </c>
      <c r="T557" s="72">
        <v>16</v>
      </c>
      <c r="U557" s="71" t="s">
        <v>139</v>
      </c>
    </row>
    <row r="558" spans="1:21" x14ac:dyDescent="0.55000000000000004">
      <c r="A558" s="71">
        <v>351</v>
      </c>
      <c r="C558" s="73">
        <v>16.2</v>
      </c>
      <c r="D558" s="73">
        <v>18.854040000000001</v>
      </c>
      <c r="F558" s="71">
        <v>558</v>
      </c>
      <c r="H558" s="72">
        <v>16</v>
      </c>
      <c r="I558" s="71" t="s">
        <v>139</v>
      </c>
      <c r="R558" s="71">
        <v>558</v>
      </c>
      <c r="T558" s="72">
        <v>16</v>
      </c>
      <c r="U558" s="71" t="s">
        <v>139</v>
      </c>
    </row>
    <row r="559" spans="1:21" x14ac:dyDescent="0.55000000000000004">
      <c r="A559" s="71">
        <v>535</v>
      </c>
      <c r="C559" s="73">
        <v>16.2</v>
      </c>
      <c r="D559" s="73">
        <v>16.214040000000001</v>
      </c>
      <c r="F559" s="71">
        <v>558</v>
      </c>
      <c r="H559" s="72">
        <v>16</v>
      </c>
      <c r="I559" s="71" t="s">
        <v>139</v>
      </c>
      <c r="R559" s="71">
        <v>558</v>
      </c>
      <c r="T559" s="72">
        <v>16</v>
      </c>
      <c r="U559" s="71" t="s">
        <v>139</v>
      </c>
    </row>
    <row r="560" spans="1:21" x14ac:dyDescent="0.55000000000000004">
      <c r="A560" s="71">
        <v>313</v>
      </c>
      <c r="C560" s="73">
        <v>16.21</v>
      </c>
      <c r="D560" s="73">
        <v>16.73404</v>
      </c>
      <c r="F560" s="71">
        <v>558</v>
      </c>
      <c r="H560" s="72">
        <v>16</v>
      </c>
      <c r="I560" s="71" t="s">
        <v>139</v>
      </c>
      <c r="R560" s="71">
        <v>558</v>
      </c>
      <c r="T560" s="72">
        <v>16</v>
      </c>
      <c r="U560" s="71" t="s">
        <v>139</v>
      </c>
    </row>
    <row r="561" spans="1:21" x14ac:dyDescent="0.55000000000000004">
      <c r="A561" s="71">
        <v>959</v>
      </c>
      <c r="C561" s="73">
        <v>16.21</v>
      </c>
      <c r="F561" s="71">
        <v>558</v>
      </c>
      <c r="H561" s="72">
        <v>16</v>
      </c>
      <c r="I561" s="71" t="s">
        <v>139</v>
      </c>
      <c r="R561" s="71">
        <v>558</v>
      </c>
      <c r="T561" s="72">
        <v>16</v>
      </c>
      <c r="U561" s="71" t="s">
        <v>139</v>
      </c>
    </row>
    <row r="562" spans="1:21" x14ac:dyDescent="0.55000000000000004">
      <c r="A562" s="71">
        <v>540</v>
      </c>
      <c r="C562" s="73">
        <v>16.22</v>
      </c>
      <c r="D562" s="73">
        <v>18.28</v>
      </c>
      <c r="F562" s="71">
        <v>558</v>
      </c>
      <c r="H562" s="72">
        <v>16</v>
      </c>
      <c r="I562" s="71" t="s">
        <v>139</v>
      </c>
      <c r="R562" s="71">
        <v>558</v>
      </c>
      <c r="T562" s="72">
        <v>16</v>
      </c>
      <c r="U562" s="71" t="s">
        <v>139</v>
      </c>
    </row>
    <row r="563" spans="1:21" x14ac:dyDescent="0.55000000000000004">
      <c r="A563" s="71">
        <v>268</v>
      </c>
      <c r="C563" s="73">
        <v>16.23</v>
      </c>
      <c r="D563" s="73">
        <v>18.8</v>
      </c>
      <c r="F563" s="71">
        <v>558</v>
      </c>
      <c r="H563" s="72">
        <v>16</v>
      </c>
      <c r="I563" s="71" t="s">
        <v>139</v>
      </c>
      <c r="R563" s="71">
        <v>558</v>
      </c>
      <c r="T563" s="72">
        <v>16</v>
      </c>
      <c r="U563" s="71" t="s">
        <v>139</v>
      </c>
    </row>
    <row r="564" spans="1:21" x14ac:dyDescent="0.55000000000000004">
      <c r="A564" s="71">
        <v>268</v>
      </c>
      <c r="C564" s="73">
        <v>16.23</v>
      </c>
      <c r="D564" s="73">
        <v>18.54</v>
      </c>
      <c r="F564" s="71">
        <v>558</v>
      </c>
      <c r="H564" s="72">
        <v>16</v>
      </c>
      <c r="I564" s="71" t="s">
        <v>139</v>
      </c>
      <c r="R564" s="71">
        <v>558</v>
      </c>
      <c r="T564" s="72">
        <v>16</v>
      </c>
      <c r="U564" s="71" t="s">
        <v>139</v>
      </c>
    </row>
    <row r="565" spans="1:21" x14ac:dyDescent="0.55000000000000004">
      <c r="A565" s="71">
        <v>560</v>
      </c>
      <c r="C565" s="73">
        <v>16.236000000000001</v>
      </c>
      <c r="F565" s="71">
        <v>558</v>
      </c>
      <c r="H565" s="72">
        <v>16</v>
      </c>
      <c r="I565" s="71" t="s">
        <v>139</v>
      </c>
      <c r="R565" s="71">
        <v>558</v>
      </c>
      <c r="T565" s="72">
        <v>16</v>
      </c>
      <c r="U565" s="71" t="s">
        <v>139</v>
      </c>
    </row>
    <row r="566" spans="1:21" x14ac:dyDescent="0.55000000000000004">
      <c r="A566" s="71">
        <v>506</v>
      </c>
      <c r="C566" s="73">
        <v>16.239999999999998</v>
      </c>
      <c r="F566" s="71">
        <v>558</v>
      </c>
      <c r="H566" s="72">
        <v>16</v>
      </c>
      <c r="I566" s="71" t="s">
        <v>139</v>
      </c>
      <c r="R566" s="71">
        <v>558</v>
      </c>
      <c r="T566" s="72">
        <v>16</v>
      </c>
      <c r="U566" s="71" t="s">
        <v>139</v>
      </c>
    </row>
    <row r="567" spans="1:21" x14ac:dyDescent="0.55000000000000004">
      <c r="A567" s="71">
        <v>575</v>
      </c>
      <c r="C567" s="73">
        <v>16.239999999999998</v>
      </c>
      <c r="F567" s="71">
        <v>558</v>
      </c>
      <c r="H567" s="72">
        <v>16.25</v>
      </c>
      <c r="I567" s="71" t="s">
        <v>139</v>
      </c>
      <c r="R567" s="71">
        <v>558</v>
      </c>
      <c r="T567" s="72">
        <v>16.25</v>
      </c>
      <c r="U567" s="71" t="s">
        <v>139</v>
      </c>
    </row>
    <row r="568" spans="1:21" x14ac:dyDescent="0.55000000000000004">
      <c r="A568" s="71">
        <v>575</v>
      </c>
      <c r="C568" s="73">
        <v>16.239999999999998</v>
      </c>
      <c r="F568" s="71">
        <v>558</v>
      </c>
      <c r="H568" s="72">
        <v>17.100000000000001</v>
      </c>
      <c r="I568" s="71" t="s">
        <v>139</v>
      </c>
      <c r="R568" s="71">
        <v>558</v>
      </c>
      <c r="T568" s="72">
        <v>17.100000000000001</v>
      </c>
      <c r="U568" s="71" t="s">
        <v>139</v>
      </c>
    </row>
    <row r="569" spans="1:21" x14ac:dyDescent="0.55000000000000004">
      <c r="A569" s="71">
        <v>575</v>
      </c>
      <c r="C569" s="73">
        <v>16.239999999999998</v>
      </c>
      <c r="F569" s="71">
        <v>558</v>
      </c>
      <c r="H569" s="72">
        <v>18.100000000000001</v>
      </c>
      <c r="I569" s="71" t="s">
        <v>139</v>
      </c>
      <c r="R569" s="71">
        <v>558</v>
      </c>
      <c r="T569" s="72">
        <v>18.100000000000001</v>
      </c>
      <c r="U569" s="71" t="s">
        <v>139</v>
      </c>
    </row>
    <row r="570" spans="1:21" x14ac:dyDescent="0.55000000000000004">
      <c r="A570" s="71">
        <v>575</v>
      </c>
      <c r="C570" s="73">
        <v>16.239999999999998</v>
      </c>
      <c r="F570" s="71">
        <v>558</v>
      </c>
      <c r="H570" s="72">
        <v>18.25</v>
      </c>
      <c r="I570" s="71" t="s">
        <v>139</v>
      </c>
      <c r="R570" s="71">
        <v>558</v>
      </c>
      <c r="T570" s="72">
        <v>18.25</v>
      </c>
      <c r="U570" s="71" t="s">
        <v>139</v>
      </c>
    </row>
    <row r="571" spans="1:21" x14ac:dyDescent="0.55000000000000004">
      <c r="A571" s="71">
        <v>575</v>
      </c>
      <c r="C571" s="73">
        <v>16.239999999999998</v>
      </c>
      <c r="D571" s="73">
        <v>17.02</v>
      </c>
      <c r="F571" s="71">
        <v>558</v>
      </c>
      <c r="H571" s="72">
        <v>20</v>
      </c>
      <c r="I571" s="71" t="s">
        <v>139</v>
      </c>
      <c r="R571" s="71">
        <v>558</v>
      </c>
      <c r="T571" s="72">
        <v>20</v>
      </c>
      <c r="U571" s="71" t="s">
        <v>139</v>
      </c>
    </row>
    <row r="572" spans="1:21" x14ac:dyDescent="0.55000000000000004">
      <c r="A572" s="71">
        <v>575</v>
      </c>
      <c r="C572" s="73">
        <v>16.239999999999998</v>
      </c>
      <c r="D572" s="73">
        <v>15.88</v>
      </c>
      <c r="F572" s="71">
        <v>558</v>
      </c>
      <c r="H572" s="72">
        <v>20</v>
      </c>
      <c r="I572" s="71" t="s">
        <v>139</v>
      </c>
      <c r="R572" s="71">
        <v>558</v>
      </c>
      <c r="T572" s="72">
        <v>20</v>
      </c>
      <c r="U572" s="71" t="s">
        <v>139</v>
      </c>
    </row>
    <row r="573" spans="1:21" x14ac:dyDescent="0.55000000000000004">
      <c r="A573" s="71">
        <v>575</v>
      </c>
      <c r="C573" s="73">
        <v>16.239999999999998</v>
      </c>
      <c r="D573" s="73">
        <v>15.5</v>
      </c>
      <c r="F573" s="71">
        <v>560</v>
      </c>
      <c r="H573" s="72">
        <v>15</v>
      </c>
      <c r="I573" s="71" t="s">
        <v>139</v>
      </c>
      <c r="R573" s="71">
        <v>560</v>
      </c>
      <c r="T573" s="72">
        <v>15</v>
      </c>
      <c r="U573" s="71" t="s">
        <v>139</v>
      </c>
    </row>
    <row r="574" spans="1:21" x14ac:dyDescent="0.55000000000000004">
      <c r="A574" s="71">
        <v>575</v>
      </c>
      <c r="C574" s="73">
        <v>16.239999999999998</v>
      </c>
      <c r="D574" s="73">
        <v>14.74</v>
      </c>
      <c r="F574" s="71">
        <v>560</v>
      </c>
      <c r="H574" s="72">
        <v>15.35</v>
      </c>
      <c r="I574" s="71" t="s">
        <v>139</v>
      </c>
      <c r="R574" s="71">
        <v>560</v>
      </c>
      <c r="T574" s="72">
        <v>15.35</v>
      </c>
      <c r="U574" s="71" t="s">
        <v>139</v>
      </c>
    </row>
    <row r="575" spans="1:21" x14ac:dyDescent="0.55000000000000004">
      <c r="A575" s="71">
        <v>486</v>
      </c>
      <c r="C575" s="73">
        <v>16.239999999999998</v>
      </c>
      <c r="D575" s="73">
        <v>26</v>
      </c>
      <c r="F575" s="71">
        <v>560</v>
      </c>
      <c r="H575" s="72">
        <v>15.75</v>
      </c>
      <c r="I575" s="71" t="s">
        <v>139</v>
      </c>
      <c r="R575" s="71">
        <v>560</v>
      </c>
      <c r="T575" s="72">
        <v>15.75</v>
      </c>
      <c r="U575" s="71" t="s">
        <v>139</v>
      </c>
    </row>
    <row r="576" spans="1:21" x14ac:dyDescent="0.55000000000000004">
      <c r="A576" s="71">
        <v>486</v>
      </c>
      <c r="C576" s="73">
        <v>16.239999999999998</v>
      </c>
      <c r="D576" s="73">
        <v>21</v>
      </c>
      <c r="F576" s="71">
        <v>560</v>
      </c>
      <c r="H576" s="72">
        <v>15.887499999999999</v>
      </c>
      <c r="I576" s="71" t="s">
        <v>139</v>
      </c>
      <c r="R576" s="71">
        <v>560</v>
      </c>
      <c r="T576" s="72">
        <v>15.887499999999999</v>
      </c>
      <c r="U576" s="71" t="s">
        <v>139</v>
      </c>
    </row>
    <row r="577" spans="1:21" x14ac:dyDescent="0.55000000000000004">
      <c r="A577" s="71">
        <v>814</v>
      </c>
      <c r="C577" s="73">
        <v>16.25</v>
      </c>
      <c r="D577" s="73">
        <v>21</v>
      </c>
      <c r="F577" s="71">
        <v>560</v>
      </c>
      <c r="H577" s="72">
        <v>15.887499999999999</v>
      </c>
      <c r="I577" s="71" t="s">
        <v>139</v>
      </c>
      <c r="R577" s="71">
        <v>560</v>
      </c>
      <c r="T577" s="72">
        <v>15.887499999999999</v>
      </c>
      <c r="U577" s="71" t="s">
        <v>139</v>
      </c>
    </row>
    <row r="578" spans="1:21" x14ac:dyDescent="0.55000000000000004">
      <c r="A578" s="71">
        <v>560</v>
      </c>
      <c r="C578" s="73">
        <v>16.25</v>
      </c>
      <c r="D578" s="73">
        <v>21</v>
      </c>
      <c r="F578" s="71">
        <v>560</v>
      </c>
      <c r="H578" s="72">
        <v>15.887499999999999</v>
      </c>
      <c r="I578" s="71" t="s">
        <v>139</v>
      </c>
      <c r="R578" s="71">
        <v>560</v>
      </c>
      <c r="T578" s="72">
        <v>15.887499999999999</v>
      </c>
      <c r="U578" s="71" t="s">
        <v>139</v>
      </c>
    </row>
    <row r="579" spans="1:21" x14ac:dyDescent="0.55000000000000004">
      <c r="A579" s="71">
        <v>560</v>
      </c>
      <c r="C579" s="73">
        <v>16.25</v>
      </c>
      <c r="F579" s="71">
        <v>560</v>
      </c>
      <c r="H579" s="72">
        <v>15.887499999999999</v>
      </c>
      <c r="I579" s="71" t="s">
        <v>139</v>
      </c>
      <c r="R579" s="71">
        <v>560</v>
      </c>
      <c r="T579" s="72">
        <v>15.887499999999999</v>
      </c>
      <c r="U579" s="71" t="s">
        <v>139</v>
      </c>
    </row>
    <row r="580" spans="1:21" x14ac:dyDescent="0.55000000000000004">
      <c r="A580" s="71">
        <v>486</v>
      </c>
      <c r="C580" s="73">
        <v>16.25</v>
      </c>
      <c r="F580" s="71">
        <v>560</v>
      </c>
      <c r="H580" s="72">
        <v>15.887499999999999</v>
      </c>
      <c r="I580" s="71" t="s">
        <v>139</v>
      </c>
      <c r="R580" s="71">
        <v>560</v>
      </c>
      <c r="T580" s="72">
        <v>15.887499999999999</v>
      </c>
      <c r="U580" s="71" t="s">
        <v>139</v>
      </c>
    </row>
    <row r="581" spans="1:21" x14ac:dyDescent="0.55000000000000004">
      <c r="A581" s="71">
        <v>486</v>
      </c>
      <c r="C581" s="73">
        <v>16.25</v>
      </c>
      <c r="F581" s="71">
        <v>560</v>
      </c>
      <c r="H581" s="72">
        <v>15.887499999999999</v>
      </c>
      <c r="I581" s="71" t="s">
        <v>139</v>
      </c>
      <c r="R581" s="71">
        <v>560</v>
      </c>
      <c r="T581" s="72">
        <v>15.887499999999999</v>
      </c>
      <c r="U581" s="71" t="s">
        <v>139</v>
      </c>
    </row>
    <row r="582" spans="1:21" x14ac:dyDescent="0.55000000000000004">
      <c r="A582" s="71">
        <v>486</v>
      </c>
      <c r="C582" s="73">
        <v>16.25</v>
      </c>
      <c r="F582" s="71">
        <v>560</v>
      </c>
      <c r="H582" s="72">
        <v>15.979800000000001</v>
      </c>
      <c r="I582" s="71" t="s">
        <v>139</v>
      </c>
      <c r="R582" s="71">
        <v>560</v>
      </c>
      <c r="T582" s="72">
        <v>15.979800000000001</v>
      </c>
      <c r="U582" s="71" t="s">
        <v>139</v>
      </c>
    </row>
    <row r="583" spans="1:21" x14ac:dyDescent="0.55000000000000004">
      <c r="A583" s="71">
        <v>486</v>
      </c>
      <c r="C583" s="73">
        <v>16.25</v>
      </c>
      <c r="F583" s="71">
        <v>560</v>
      </c>
      <c r="H583" s="72">
        <v>16</v>
      </c>
      <c r="I583" s="71" t="s">
        <v>139</v>
      </c>
      <c r="R583" s="71">
        <v>560</v>
      </c>
      <c r="T583" s="72">
        <v>16</v>
      </c>
      <c r="U583" s="71" t="s">
        <v>139</v>
      </c>
    </row>
    <row r="584" spans="1:21" x14ac:dyDescent="0.55000000000000004">
      <c r="A584" s="71">
        <v>486</v>
      </c>
      <c r="C584" s="73">
        <v>16.25</v>
      </c>
      <c r="F584" s="71">
        <v>560</v>
      </c>
      <c r="H584" s="72">
        <v>16</v>
      </c>
      <c r="I584" s="71" t="s">
        <v>139</v>
      </c>
      <c r="R584" s="71">
        <v>560</v>
      </c>
      <c r="T584" s="72">
        <v>16</v>
      </c>
      <c r="U584" s="71" t="s">
        <v>139</v>
      </c>
    </row>
    <row r="585" spans="1:21" x14ac:dyDescent="0.55000000000000004">
      <c r="A585" s="71">
        <v>486</v>
      </c>
      <c r="C585" s="73">
        <v>16.25</v>
      </c>
      <c r="F585" s="71">
        <v>560</v>
      </c>
      <c r="H585" s="72">
        <v>16.236000000000001</v>
      </c>
      <c r="I585" s="71" t="s">
        <v>139</v>
      </c>
      <c r="R585" s="71">
        <v>560</v>
      </c>
      <c r="T585" s="72">
        <v>16.236000000000001</v>
      </c>
      <c r="U585" s="71" t="s">
        <v>139</v>
      </c>
    </row>
    <row r="586" spans="1:21" x14ac:dyDescent="0.55000000000000004">
      <c r="A586" s="71">
        <v>486</v>
      </c>
      <c r="C586" s="73">
        <v>16.25</v>
      </c>
      <c r="F586" s="71">
        <v>560</v>
      </c>
      <c r="H586" s="72">
        <v>16.25</v>
      </c>
      <c r="I586" s="71" t="s">
        <v>139</v>
      </c>
      <c r="R586" s="71">
        <v>560</v>
      </c>
      <c r="T586" s="72">
        <v>16.25</v>
      </c>
      <c r="U586" s="71" t="s">
        <v>139</v>
      </c>
    </row>
    <row r="587" spans="1:21" x14ac:dyDescent="0.55000000000000004">
      <c r="A587" s="71">
        <v>558</v>
      </c>
      <c r="C587" s="74">
        <v>16.25</v>
      </c>
      <c r="D587" s="74"/>
      <c r="F587" s="71">
        <v>560</v>
      </c>
      <c r="H587" s="72">
        <v>16.25</v>
      </c>
      <c r="I587" s="71" t="s">
        <v>139</v>
      </c>
      <c r="R587" s="71">
        <v>560</v>
      </c>
      <c r="T587" s="72">
        <v>16.25</v>
      </c>
      <c r="U587" s="71" t="s">
        <v>139</v>
      </c>
    </row>
    <row r="588" spans="1:21" x14ac:dyDescent="0.55000000000000004">
      <c r="A588" s="71">
        <v>563</v>
      </c>
      <c r="C588" s="73">
        <v>16.25</v>
      </c>
      <c r="F588" s="71">
        <v>560</v>
      </c>
      <c r="H588" s="72">
        <v>16.72</v>
      </c>
      <c r="I588" s="71" t="s">
        <v>139</v>
      </c>
      <c r="R588" s="71">
        <v>560</v>
      </c>
      <c r="T588" s="72">
        <v>16.72</v>
      </c>
      <c r="U588" s="71" t="s">
        <v>139</v>
      </c>
    </row>
    <row r="589" spans="1:21" x14ac:dyDescent="0.55000000000000004">
      <c r="A589" s="71">
        <v>288</v>
      </c>
      <c r="C589" s="73">
        <v>16.25</v>
      </c>
      <c r="F589" s="71">
        <v>560</v>
      </c>
      <c r="H589" s="72">
        <v>17.170000000000002</v>
      </c>
      <c r="I589" s="71" t="s">
        <v>139</v>
      </c>
      <c r="R589" s="71">
        <v>560</v>
      </c>
      <c r="T589" s="72">
        <v>17.170000000000002</v>
      </c>
      <c r="U589" s="71" t="s">
        <v>139</v>
      </c>
    </row>
    <row r="590" spans="1:21" x14ac:dyDescent="0.55000000000000004">
      <c r="A590" s="71">
        <v>500</v>
      </c>
      <c r="C590" s="75">
        <v>16.25</v>
      </c>
      <c r="D590" s="75"/>
      <c r="F590" s="71">
        <v>560</v>
      </c>
      <c r="H590" s="72">
        <v>17.170000000000002</v>
      </c>
      <c r="I590" s="71" t="s">
        <v>139</v>
      </c>
      <c r="R590" s="71">
        <v>560</v>
      </c>
      <c r="T590" s="72">
        <v>17.170000000000002</v>
      </c>
      <c r="U590" s="71" t="s">
        <v>139</v>
      </c>
    </row>
    <row r="591" spans="1:21" x14ac:dyDescent="0.55000000000000004">
      <c r="A591" s="71">
        <v>385</v>
      </c>
      <c r="C591" s="74">
        <v>16.28</v>
      </c>
      <c r="D591" s="74">
        <v>22.5</v>
      </c>
      <c r="F591" s="71">
        <v>560</v>
      </c>
      <c r="H591" s="72">
        <v>17.170000000000002</v>
      </c>
      <c r="I591" s="71" t="s">
        <v>139</v>
      </c>
      <c r="R591" s="71">
        <v>560</v>
      </c>
      <c r="T591" s="72">
        <v>17.170000000000002</v>
      </c>
      <c r="U591" s="71" t="s">
        <v>139</v>
      </c>
    </row>
    <row r="592" spans="1:21" x14ac:dyDescent="0.55000000000000004">
      <c r="A592" s="71">
        <v>542</v>
      </c>
      <c r="C592" s="73">
        <v>16.309999999999999</v>
      </c>
      <c r="D592" s="73">
        <v>21.16</v>
      </c>
      <c r="F592" s="71">
        <v>560</v>
      </c>
      <c r="H592" s="72">
        <v>17.27</v>
      </c>
      <c r="I592" s="71" t="s">
        <v>139</v>
      </c>
      <c r="R592" s="71">
        <v>560</v>
      </c>
      <c r="T592" s="72">
        <v>17.27</v>
      </c>
      <c r="U592" s="71" t="s">
        <v>139</v>
      </c>
    </row>
    <row r="593" spans="1:21" x14ac:dyDescent="0.55000000000000004">
      <c r="A593" s="71">
        <v>542</v>
      </c>
      <c r="C593" s="73">
        <v>16.309999999999999</v>
      </c>
      <c r="D593" s="73">
        <v>22.18</v>
      </c>
      <c r="F593" s="71">
        <v>560</v>
      </c>
      <c r="H593" s="72">
        <v>17.43</v>
      </c>
      <c r="I593" s="71" t="s">
        <v>139</v>
      </c>
      <c r="R593" s="71">
        <v>560</v>
      </c>
      <c r="T593" s="72">
        <v>17.43</v>
      </c>
      <c r="U593" s="71" t="s">
        <v>139</v>
      </c>
    </row>
    <row r="594" spans="1:21" x14ac:dyDescent="0.55000000000000004">
      <c r="A594" s="71">
        <v>542</v>
      </c>
      <c r="C594" s="73">
        <v>16.309999999999999</v>
      </c>
      <c r="F594" s="71">
        <v>560</v>
      </c>
      <c r="H594" s="72">
        <v>17.5</v>
      </c>
      <c r="I594" s="71" t="s">
        <v>139</v>
      </c>
      <c r="R594" s="71">
        <v>560</v>
      </c>
      <c r="T594" s="72">
        <v>17.5</v>
      </c>
      <c r="U594" s="71" t="s">
        <v>139</v>
      </c>
    </row>
    <row r="595" spans="1:21" x14ac:dyDescent="0.55000000000000004">
      <c r="A595" s="71">
        <v>542</v>
      </c>
      <c r="C595" s="73">
        <v>16.309999999999999</v>
      </c>
      <c r="F595" s="71">
        <v>560</v>
      </c>
      <c r="H595" s="72">
        <v>17.5</v>
      </c>
      <c r="I595" s="71" t="s">
        <v>139</v>
      </c>
      <c r="R595" s="71">
        <v>560</v>
      </c>
      <c r="T595" s="72">
        <v>17.5</v>
      </c>
      <c r="U595" s="71" t="s">
        <v>139</v>
      </c>
    </row>
    <row r="596" spans="1:21" x14ac:dyDescent="0.55000000000000004">
      <c r="A596" s="71">
        <v>542</v>
      </c>
      <c r="C596" s="73">
        <v>16.309999999999999</v>
      </c>
      <c r="F596" s="71">
        <v>560</v>
      </c>
      <c r="H596" s="72">
        <v>17.5</v>
      </c>
      <c r="I596" s="71" t="s">
        <v>139</v>
      </c>
      <c r="R596" s="71">
        <v>560</v>
      </c>
      <c r="T596" s="72">
        <v>17.5</v>
      </c>
      <c r="U596" s="71" t="s">
        <v>139</v>
      </c>
    </row>
    <row r="597" spans="1:21" x14ac:dyDescent="0.55000000000000004">
      <c r="A597" s="71">
        <v>542</v>
      </c>
      <c r="C597" s="73">
        <v>16.309999999999999</v>
      </c>
      <c r="F597" s="71">
        <v>560</v>
      </c>
      <c r="H597" s="72">
        <v>17.940000000000001</v>
      </c>
      <c r="I597" s="71" t="s">
        <v>139</v>
      </c>
      <c r="R597" s="71">
        <v>560</v>
      </c>
      <c r="T597" s="72">
        <v>17.940000000000001</v>
      </c>
      <c r="U597" s="71" t="s">
        <v>139</v>
      </c>
    </row>
    <row r="598" spans="1:21" x14ac:dyDescent="0.55000000000000004">
      <c r="A598" s="71">
        <v>542</v>
      </c>
      <c r="C598" s="73">
        <v>16.309999999999999</v>
      </c>
      <c r="F598" s="71">
        <v>560</v>
      </c>
      <c r="H598" s="72">
        <v>18</v>
      </c>
      <c r="I598" s="71" t="s">
        <v>139</v>
      </c>
      <c r="R598" s="71">
        <v>560</v>
      </c>
      <c r="T598" s="72">
        <v>18</v>
      </c>
      <c r="U598" s="71" t="s">
        <v>139</v>
      </c>
    </row>
    <row r="599" spans="1:21" x14ac:dyDescent="0.55000000000000004">
      <c r="A599" s="71">
        <v>542</v>
      </c>
      <c r="C599" s="73">
        <v>16.309999999999999</v>
      </c>
      <c r="F599" s="71">
        <v>560</v>
      </c>
      <c r="H599" s="72">
        <v>18.39</v>
      </c>
      <c r="I599" s="71" t="s">
        <v>139</v>
      </c>
      <c r="R599" s="71">
        <v>560</v>
      </c>
      <c r="T599" s="72">
        <v>18.39</v>
      </c>
      <c r="U599" s="71" t="s">
        <v>139</v>
      </c>
    </row>
    <row r="600" spans="1:21" x14ac:dyDescent="0.55000000000000004">
      <c r="A600" s="71">
        <v>542</v>
      </c>
      <c r="C600" s="73">
        <v>16.309999999999999</v>
      </c>
      <c r="F600" s="71">
        <v>560</v>
      </c>
      <c r="H600" s="72">
        <v>18.399999999999999</v>
      </c>
      <c r="I600" s="71" t="s">
        <v>139</v>
      </c>
      <c r="R600" s="71">
        <v>560</v>
      </c>
      <c r="T600" s="72">
        <v>18.399999999999999</v>
      </c>
      <c r="U600" s="71" t="s">
        <v>139</v>
      </c>
    </row>
    <row r="601" spans="1:21" x14ac:dyDescent="0.55000000000000004">
      <c r="A601" s="71">
        <v>542</v>
      </c>
      <c r="C601" s="73">
        <v>16.309999999999999</v>
      </c>
      <c r="F601" s="71">
        <v>560</v>
      </c>
      <c r="H601" s="72">
        <v>18.5</v>
      </c>
      <c r="I601" s="71" t="s">
        <v>139</v>
      </c>
      <c r="R601" s="71">
        <v>560</v>
      </c>
      <c r="T601" s="72">
        <v>18.5</v>
      </c>
      <c r="U601" s="71" t="s">
        <v>139</v>
      </c>
    </row>
    <row r="602" spans="1:21" x14ac:dyDescent="0.55000000000000004">
      <c r="A602" s="71">
        <v>542</v>
      </c>
      <c r="C602" s="73">
        <v>16.309999999999999</v>
      </c>
      <c r="F602" s="71">
        <v>560</v>
      </c>
      <c r="H602" s="72">
        <v>22</v>
      </c>
      <c r="I602" s="71" t="s">
        <v>139</v>
      </c>
      <c r="R602" s="71">
        <v>560</v>
      </c>
      <c r="T602" s="72">
        <v>22</v>
      </c>
      <c r="U602" s="71" t="s">
        <v>139</v>
      </c>
    </row>
    <row r="603" spans="1:21" x14ac:dyDescent="0.55000000000000004">
      <c r="A603" s="71">
        <v>542</v>
      </c>
      <c r="C603" s="73">
        <v>16.309999999999999</v>
      </c>
      <c r="F603" s="71">
        <v>563</v>
      </c>
      <c r="H603" s="72">
        <v>16.25</v>
      </c>
      <c r="I603" s="71" t="s">
        <v>139</v>
      </c>
      <c r="R603" s="71">
        <v>563</v>
      </c>
      <c r="T603" s="72">
        <v>16.25</v>
      </c>
      <c r="U603" s="71" t="s">
        <v>139</v>
      </c>
    </row>
    <row r="604" spans="1:21" x14ac:dyDescent="0.55000000000000004">
      <c r="A604" s="71">
        <v>542</v>
      </c>
      <c r="C604" s="73">
        <v>16.309999999999999</v>
      </c>
      <c r="F604" s="71">
        <v>563</v>
      </c>
      <c r="H604" s="72">
        <v>16.5</v>
      </c>
      <c r="I604" s="71" t="s">
        <v>139</v>
      </c>
      <c r="R604" s="71">
        <v>563</v>
      </c>
      <c r="T604" s="72">
        <v>16.5</v>
      </c>
      <c r="U604" s="71" t="s">
        <v>139</v>
      </c>
    </row>
    <row r="605" spans="1:21" x14ac:dyDescent="0.55000000000000004">
      <c r="A605" s="71">
        <v>542</v>
      </c>
      <c r="C605" s="73">
        <v>16.309999999999999</v>
      </c>
      <c r="D605" s="73">
        <v>17</v>
      </c>
      <c r="F605" s="71">
        <v>563</v>
      </c>
      <c r="H605" s="72">
        <v>16.5</v>
      </c>
      <c r="I605" s="71" t="s">
        <v>139</v>
      </c>
      <c r="R605" s="71">
        <v>563</v>
      </c>
      <c r="T605" s="72">
        <v>16.5</v>
      </c>
      <c r="U605" s="71" t="s">
        <v>139</v>
      </c>
    </row>
    <row r="606" spans="1:21" x14ac:dyDescent="0.55000000000000004">
      <c r="A606" s="71">
        <v>542</v>
      </c>
      <c r="C606" s="73">
        <v>16.309999999999999</v>
      </c>
      <c r="F606" s="71">
        <v>563</v>
      </c>
      <c r="H606" s="72">
        <v>17.5</v>
      </c>
      <c r="I606" s="71" t="s">
        <v>139</v>
      </c>
      <c r="R606" s="71">
        <v>563</v>
      </c>
      <c r="T606" s="72">
        <v>17.5</v>
      </c>
      <c r="U606" s="71" t="s">
        <v>139</v>
      </c>
    </row>
    <row r="607" spans="1:21" x14ac:dyDescent="0.55000000000000004">
      <c r="A607" s="71">
        <v>542</v>
      </c>
      <c r="C607" s="73">
        <v>16.309999999999999</v>
      </c>
      <c r="F607" s="71">
        <v>563</v>
      </c>
      <c r="H607" s="72">
        <v>18.5</v>
      </c>
      <c r="I607" s="71" t="s">
        <v>139</v>
      </c>
      <c r="R607" s="71">
        <v>563</v>
      </c>
      <c r="T607" s="72">
        <v>18.5</v>
      </c>
      <c r="U607" s="71" t="s">
        <v>139</v>
      </c>
    </row>
    <row r="608" spans="1:21" x14ac:dyDescent="0.55000000000000004">
      <c r="A608" s="71">
        <v>542</v>
      </c>
      <c r="C608" s="73">
        <v>16.309999999999999</v>
      </c>
      <c r="F608" s="71">
        <v>572</v>
      </c>
      <c r="H608" s="72">
        <v>15</v>
      </c>
      <c r="I608" s="71" t="s">
        <v>139</v>
      </c>
      <c r="R608" s="71">
        <v>572</v>
      </c>
      <c r="T608" s="72">
        <v>15</v>
      </c>
      <c r="U608" s="71" t="s">
        <v>139</v>
      </c>
    </row>
    <row r="609" spans="1:21" x14ac:dyDescent="0.55000000000000004">
      <c r="A609" s="71">
        <v>542</v>
      </c>
      <c r="C609" s="73">
        <v>16.309999999999999</v>
      </c>
      <c r="F609" s="71">
        <v>572</v>
      </c>
      <c r="H609" s="72">
        <v>15</v>
      </c>
      <c r="I609" s="71" t="s">
        <v>139</v>
      </c>
      <c r="R609" s="71">
        <v>572</v>
      </c>
      <c r="T609" s="72">
        <v>15</v>
      </c>
      <c r="U609" s="71" t="s">
        <v>139</v>
      </c>
    </row>
    <row r="610" spans="1:21" x14ac:dyDescent="0.55000000000000004">
      <c r="A610" s="71">
        <v>542</v>
      </c>
      <c r="C610" s="73">
        <v>16.309999999999999</v>
      </c>
      <c r="F610" s="71">
        <v>572</v>
      </c>
      <c r="H610" s="72">
        <v>15</v>
      </c>
      <c r="I610" s="71" t="s">
        <v>139</v>
      </c>
      <c r="R610" s="71">
        <v>572</v>
      </c>
      <c r="T610" s="72">
        <v>15</v>
      </c>
      <c r="U610" s="71" t="s">
        <v>139</v>
      </c>
    </row>
    <row r="611" spans="1:21" x14ac:dyDescent="0.55000000000000004">
      <c r="A611" s="71">
        <v>421</v>
      </c>
      <c r="C611" s="73">
        <v>16.32</v>
      </c>
      <c r="F611" s="71">
        <v>572</v>
      </c>
      <c r="H611" s="72">
        <v>15</v>
      </c>
      <c r="I611" s="71" t="s">
        <v>139</v>
      </c>
      <c r="R611" s="71">
        <v>572</v>
      </c>
      <c r="T611" s="72">
        <v>15</v>
      </c>
      <c r="U611" s="71" t="s">
        <v>139</v>
      </c>
    </row>
    <row r="612" spans="1:21" x14ac:dyDescent="0.55000000000000004">
      <c r="A612" s="71">
        <v>421</v>
      </c>
      <c r="C612" s="73">
        <v>16.32</v>
      </c>
      <c r="F612" s="71">
        <v>572</v>
      </c>
      <c r="H612" s="72">
        <v>15.3</v>
      </c>
      <c r="I612" s="71" t="s">
        <v>139</v>
      </c>
      <c r="R612" s="71">
        <v>572</v>
      </c>
      <c r="T612" s="72">
        <v>15.3</v>
      </c>
      <c r="U612" s="71" t="s">
        <v>139</v>
      </c>
    </row>
    <row r="613" spans="1:21" x14ac:dyDescent="0.55000000000000004">
      <c r="A613" s="71">
        <v>718</v>
      </c>
      <c r="C613" s="75">
        <v>16.32</v>
      </c>
      <c r="D613" s="75"/>
      <c r="F613" s="71">
        <v>572</v>
      </c>
      <c r="H613" s="72">
        <v>15.35</v>
      </c>
      <c r="I613" s="71" t="s">
        <v>139</v>
      </c>
      <c r="R613" s="71">
        <v>572</v>
      </c>
      <c r="T613" s="72">
        <v>15.35</v>
      </c>
      <c r="U613" s="71" t="s">
        <v>139</v>
      </c>
    </row>
    <row r="614" spans="1:21" x14ac:dyDescent="0.55000000000000004">
      <c r="A614" s="71">
        <v>718</v>
      </c>
      <c r="C614" s="75">
        <v>16.32</v>
      </c>
      <c r="D614" s="75"/>
      <c r="F614" s="71">
        <v>572</v>
      </c>
      <c r="H614" s="72">
        <v>15.35</v>
      </c>
      <c r="I614" s="71" t="s">
        <v>139</v>
      </c>
      <c r="R614" s="71">
        <v>572</v>
      </c>
      <c r="T614" s="72">
        <v>15.35</v>
      </c>
      <c r="U614" s="71" t="s">
        <v>139</v>
      </c>
    </row>
    <row r="615" spans="1:21" x14ac:dyDescent="0.55000000000000004">
      <c r="A615" s="71">
        <v>540</v>
      </c>
      <c r="C615" s="73">
        <v>16.32</v>
      </c>
      <c r="F615" s="71">
        <v>572</v>
      </c>
      <c r="H615" s="72">
        <v>15.35</v>
      </c>
      <c r="I615" s="71" t="s">
        <v>139</v>
      </c>
      <c r="R615" s="71">
        <v>572</v>
      </c>
      <c r="T615" s="72">
        <v>15.35</v>
      </c>
      <c r="U615" s="71" t="s">
        <v>139</v>
      </c>
    </row>
    <row r="616" spans="1:21" x14ac:dyDescent="0.55000000000000004">
      <c r="A616" s="71">
        <v>951</v>
      </c>
      <c r="C616" s="73">
        <v>16.350000000000001</v>
      </c>
      <c r="F616" s="71">
        <v>572</v>
      </c>
      <c r="H616" s="72">
        <v>15.61</v>
      </c>
      <c r="I616" s="71" t="s">
        <v>139</v>
      </c>
      <c r="R616" s="71">
        <v>572</v>
      </c>
      <c r="T616" s="72">
        <v>15.61</v>
      </c>
      <c r="U616" s="71" t="s">
        <v>139</v>
      </c>
    </row>
    <row r="617" spans="1:21" x14ac:dyDescent="0.55000000000000004">
      <c r="A617" s="71">
        <v>584</v>
      </c>
      <c r="C617" s="73">
        <v>16.350000000000001</v>
      </c>
      <c r="F617" s="71">
        <v>572</v>
      </c>
      <c r="H617" s="72">
        <v>15.61</v>
      </c>
      <c r="I617" s="71" t="s">
        <v>139</v>
      </c>
      <c r="R617" s="71">
        <v>572</v>
      </c>
      <c r="T617" s="72">
        <v>15.61</v>
      </c>
      <c r="U617" s="71" t="s">
        <v>139</v>
      </c>
    </row>
    <row r="618" spans="1:21" x14ac:dyDescent="0.55000000000000004">
      <c r="A618" s="71">
        <v>584</v>
      </c>
      <c r="C618" s="73">
        <v>16.350000000000001</v>
      </c>
      <c r="F618" s="71">
        <v>572</v>
      </c>
      <c r="H618" s="72">
        <v>15.61</v>
      </c>
      <c r="I618" s="71" t="s">
        <v>139</v>
      </c>
      <c r="R618" s="71">
        <v>572</v>
      </c>
      <c r="T618" s="72">
        <v>15.61</v>
      </c>
      <c r="U618" s="71" t="s">
        <v>139</v>
      </c>
    </row>
    <row r="619" spans="1:21" x14ac:dyDescent="0.55000000000000004">
      <c r="A619" s="71">
        <v>156</v>
      </c>
      <c r="C619" s="73">
        <v>16.350000000000001</v>
      </c>
      <c r="F619" s="71">
        <v>572</v>
      </c>
      <c r="H619" s="72">
        <v>16</v>
      </c>
      <c r="I619" s="71" t="s">
        <v>139</v>
      </c>
      <c r="R619" s="71">
        <v>572</v>
      </c>
      <c r="T619" s="72">
        <v>16</v>
      </c>
      <c r="U619" s="71" t="s">
        <v>139</v>
      </c>
    </row>
    <row r="620" spans="1:21" x14ac:dyDescent="0.55000000000000004">
      <c r="A620" s="71">
        <v>926</v>
      </c>
      <c r="C620" s="73">
        <v>16.36</v>
      </c>
      <c r="F620" s="71">
        <v>572</v>
      </c>
      <c r="H620" s="72">
        <v>16</v>
      </c>
      <c r="I620" s="71" t="s">
        <v>139</v>
      </c>
      <c r="R620" s="71">
        <v>572</v>
      </c>
      <c r="T620" s="72">
        <v>16</v>
      </c>
      <c r="U620" s="71" t="s">
        <v>139</v>
      </c>
    </row>
    <row r="621" spans="1:21" x14ac:dyDescent="0.55000000000000004">
      <c r="A621" s="71">
        <v>543</v>
      </c>
      <c r="C621" s="73">
        <v>16.38</v>
      </c>
      <c r="D621" s="73">
        <v>17.510000000000002</v>
      </c>
      <c r="F621" s="71">
        <v>572</v>
      </c>
      <c r="H621" s="72">
        <v>16.399999999999999</v>
      </c>
      <c r="I621" s="71" t="s">
        <v>139</v>
      </c>
      <c r="R621" s="71">
        <v>572</v>
      </c>
      <c r="T621" s="72">
        <v>16.399999999999999</v>
      </c>
      <c r="U621" s="71" t="s">
        <v>139</v>
      </c>
    </row>
    <row r="622" spans="1:21" x14ac:dyDescent="0.55000000000000004">
      <c r="A622" s="71">
        <v>826</v>
      </c>
      <c r="C622" s="73">
        <v>16.39</v>
      </c>
      <c r="D622" s="73">
        <v>22</v>
      </c>
      <c r="F622" s="71">
        <v>572</v>
      </c>
      <c r="H622" s="72">
        <v>16.809999999999999</v>
      </c>
      <c r="I622" s="71" t="s">
        <v>139</v>
      </c>
      <c r="R622" s="71">
        <v>572</v>
      </c>
      <c r="T622" s="72">
        <v>16.809999999999999</v>
      </c>
      <c r="U622" s="71" t="s">
        <v>139</v>
      </c>
    </row>
    <row r="623" spans="1:21" x14ac:dyDescent="0.55000000000000004">
      <c r="A623" s="71">
        <v>572</v>
      </c>
      <c r="C623" s="73">
        <v>16.399999999999999</v>
      </c>
      <c r="D623" s="73">
        <v>18</v>
      </c>
      <c r="F623" s="71">
        <v>572</v>
      </c>
      <c r="H623" s="72">
        <v>17.23</v>
      </c>
      <c r="I623" s="71" t="s">
        <v>139</v>
      </c>
      <c r="R623" s="71">
        <v>572</v>
      </c>
      <c r="T623" s="72">
        <v>17.23</v>
      </c>
      <c r="U623" s="71" t="s">
        <v>139</v>
      </c>
    </row>
    <row r="624" spans="1:21" x14ac:dyDescent="0.55000000000000004">
      <c r="A624" s="71">
        <v>575</v>
      </c>
      <c r="C624" s="73">
        <v>16.399999999999999</v>
      </c>
      <c r="D624" s="73">
        <v>16</v>
      </c>
      <c r="F624" s="71">
        <v>572</v>
      </c>
      <c r="H624" s="72">
        <v>17.66</v>
      </c>
      <c r="I624" s="71" t="s">
        <v>139</v>
      </c>
      <c r="R624" s="71">
        <v>572</v>
      </c>
      <c r="T624" s="72">
        <v>17.66</v>
      </c>
      <c r="U624" s="71" t="s">
        <v>139</v>
      </c>
    </row>
    <row r="625" spans="1:21" x14ac:dyDescent="0.55000000000000004">
      <c r="A625" s="71">
        <v>486</v>
      </c>
      <c r="C625" s="73">
        <v>16.399999999999999</v>
      </c>
      <c r="F625" s="71">
        <v>575</v>
      </c>
      <c r="H625" s="72">
        <v>16.239999999999998</v>
      </c>
      <c r="I625" s="71" t="s">
        <v>139</v>
      </c>
      <c r="R625" s="71">
        <v>575</v>
      </c>
      <c r="T625" s="72">
        <v>16.239999999999998</v>
      </c>
      <c r="U625" s="71" t="s">
        <v>139</v>
      </c>
    </row>
    <row r="626" spans="1:21" x14ac:dyDescent="0.55000000000000004">
      <c r="A626" s="71">
        <v>712</v>
      </c>
      <c r="C626" s="73">
        <v>16.399999999999999</v>
      </c>
      <c r="D626" s="73">
        <v>18.559999999999999</v>
      </c>
      <c r="F626" s="71">
        <v>575</v>
      </c>
      <c r="H626" s="72">
        <v>16.239999999999998</v>
      </c>
      <c r="I626" s="71" t="s">
        <v>139</v>
      </c>
      <c r="R626" s="71">
        <v>575</v>
      </c>
      <c r="T626" s="72">
        <v>16.239999999999998</v>
      </c>
      <c r="U626" s="71" t="s">
        <v>139</v>
      </c>
    </row>
    <row r="627" spans="1:21" x14ac:dyDescent="0.55000000000000004">
      <c r="A627" s="71">
        <v>712</v>
      </c>
      <c r="C627" s="73">
        <v>16.399999999999999</v>
      </c>
      <c r="D627" s="73">
        <v>17.22</v>
      </c>
      <c r="F627" s="71">
        <v>575</v>
      </c>
      <c r="H627" s="72">
        <v>16.239999999999998</v>
      </c>
      <c r="I627" s="71" t="s">
        <v>139</v>
      </c>
      <c r="R627" s="71">
        <v>575</v>
      </c>
      <c r="T627" s="72">
        <v>16.239999999999998</v>
      </c>
      <c r="U627" s="71" t="s">
        <v>139</v>
      </c>
    </row>
    <row r="628" spans="1:21" x14ac:dyDescent="0.55000000000000004">
      <c r="A628" s="71">
        <v>528</v>
      </c>
      <c r="C628" s="73">
        <v>16.43</v>
      </c>
      <c r="D628" s="73">
        <v>17.22</v>
      </c>
      <c r="F628" s="71">
        <v>575</v>
      </c>
      <c r="H628" s="72">
        <v>16.239999999999998</v>
      </c>
      <c r="I628" s="71" t="s">
        <v>139</v>
      </c>
      <c r="R628" s="71">
        <v>575</v>
      </c>
      <c r="T628" s="72">
        <v>16.239999999999998</v>
      </c>
      <c r="U628" s="71" t="s">
        <v>139</v>
      </c>
    </row>
    <row r="629" spans="1:21" x14ac:dyDescent="0.55000000000000004">
      <c r="A629" s="71">
        <v>718</v>
      </c>
      <c r="C629" s="75">
        <v>16.440000000000001</v>
      </c>
      <c r="D629" s="75">
        <v>20.5</v>
      </c>
      <c r="F629" s="71">
        <v>575</v>
      </c>
      <c r="H629" s="72">
        <v>16.239999999999998</v>
      </c>
      <c r="I629" s="71" t="s">
        <v>139</v>
      </c>
      <c r="R629" s="71">
        <v>575</v>
      </c>
      <c r="T629" s="72">
        <v>16.239999999999998</v>
      </c>
      <c r="U629" s="71" t="s">
        <v>139</v>
      </c>
    </row>
    <row r="630" spans="1:21" x14ac:dyDescent="0.55000000000000004">
      <c r="A630" s="71">
        <v>718</v>
      </c>
      <c r="C630" s="75">
        <v>16.440000000000001</v>
      </c>
      <c r="D630" s="75"/>
      <c r="F630" s="71">
        <v>575</v>
      </c>
      <c r="H630" s="72">
        <v>16.239999999999998</v>
      </c>
      <c r="I630" s="71" t="s">
        <v>139</v>
      </c>
      <c r="R630" s="71">
        <v>575</v>
      </c>
      <c r="T630" s="72">
        <v>16.239999999999998</v>
      </c>
      <c r="U630" s="71" t="s">
        <v>139</v>
      </c>
    </row>
    <row r="631" spans="1:21" x14ac:dyDescent="0.55000000000000004">
      <c r="A631" s="71">
        <v>452</v>
      </c>
      <c r="C631" s="73">
        <v>16.45</v>
      </c>
      <c r="F631" s="71">
        <v>575</v>
      </c>
      <c r="H631" s="72">
        <v>16.239999999999998</v>
      </c>
      <c r="I631" s="71" t="s">
        <v>139</v>
      </c>
      <c r="R631" s="71">
        <v>575</v>
      </c>
      <c r="T631" s="72">
        <v>16.239999999999998</v>
      </c>
      <c r="U631" s="71" t="s">
        <v>139</v>
      </c>
    </row>
    <row r="632" spans="1:21" x14ac:dyDescent="0.55000000000000004">
      <c r="A632" s="71">
        <v>452</v>
      </c>
      <c r="C632" s="73">
        <v>16.45</v>
      </c>
      <c r="F632" s="71">
        <v>575</v>
      </c>
      <c r="H632" s="72">
        <v>16.239999999999998</v>
      </c>
      <c r="I632" s="71" t="s">
        <v>139</v>
      </c>
      <c r="R632" s="71">
        <v>575</v>
      </c>
      <c r="T632" s="72">
        <v>16.239999999999998</v>
      </c>
      <c r="U632" s="71" t="s">
        <v>139</v>
      </c>
    </row>
    <row r="633" spans="1:21" x14ac:dyDescent="0.55000000000000004">
      <c r="A633" s="71">
        <v>318</v>
      </c>
      <c r="C633" s="73">
        <v>16.47</v>
      </c>
      <c r="F633" s="71">
        <v>575</v>
      </c>
      <c r="H633" s="72">
        <v>16.399999999999999</v>
      </c>
      <c r="I633" s="71" t="s">
        <v>139</v>
      </c>
      <c r="R633" s="71">
        <v>575</v>
      </c>
      <c r="T633" s="72">
        <v>16.399999999999999</v>
      </c>
      <c r="U633" s="71" t="s">
        <v>139</v>
      </c>
    </row>
    <row r="634" spans="1:21" x14ac:dyDescent="0.55000000000000004">
      <c r="A634" s="71">
        <v>318</v>
      </c>
      <c r="C634" s="73">
        <v>16.47</v>
      </c>
      <c r="F634" s="71">
        <v>575</v>
      </c>
      <c r="H634" s="72">
        <v>17.07</v>
      </c>
      <c r="I634" s="71" t="s">
        <v>139</v>
      </c>
      <c r="R634" s="71">
        <v>575</v>
      </c>
      <c r="T634" s="72">
        <v>17.07</v>
      </c>
      <c r="U634" s="71" t="s">
        <v>139</v>
      </c>
    </row>
    <row r="635" spans="1:21" x14ac:dyDescent="0.55000000000000004">
      <c r="A635" s="71">
        <v>926</v>
      </c>
      <c r="C635" s="73">
        <v>16.47</v>
      </c>
      <c r="F635" s="71">
        <v>575</v>
      </c>
      <c r="H635" s="72">
        <v>17.600000000000001</v>
      </c>
      <c r="I635" s="71" t="s">
        <v>139</v>
      </c>
      <c r="R635" s="71">
        <v>575</v>
      </c>
      <c r="T635" s="72">
        <v>17.600000000000001</v>
      </c>
      <c r="U635" s="71" t="s">
        <v>139</v>
      </c>
    </row>
    <row r="636" spans="1:21" x14ac:dyDescent="0.55000000000000004">
      <c r="A636" s="71">
        <v>926</v>
      </c>
      <c r="C636" s="73">
        <v>16.47</v>
      </c>
      <c r="F636" s="71">
        <v>575</v>
      </c>
      <c r="H636" s="72">
        <v>17.760000000000002</v>
      </c>
      <c r="I636" s="71" t="s">
        <v>139</v>
      </c>
      <c r="R636" s="71">
        <v>575</v>
      </c>
      <c r="T636" s="72">
        <v>17.760000000000002</v>
      </c>
      <c r="U636" s="71" t="s">
        <v>139</v>
      </c>
    </row>
    <row r="637" spans="1:21" x14ac:dyDescent="0.55000000000000004">
      <c r="A637" s="71">
        <v>486</v>
      </c>
      <c r="C637" s="73">
        <v>16.48</v>
      </c>
      <c r="F637" s="71">
        <v>575</v>
      </c>
      <c r="H637" s="72">
        <v>17.920000000000002</v>
      </c>
      <c r="I637" s="71" t="s">
        <v>139</v>
      </c>
      <c r="R637" s="71">
        <v>575</v>
      </c>
      <c r="T637" s="72">
        <v>17.920000000000002</v>
      </c>
      <c r="U637" s="71" t="s">
        <v>139</v>
      </c>
    </row>
    <row r="638" spans="1:21" x14ac:dyDescent="0.55000000000000004">
      <c r="A638" s="71">
        <v>718</v>
      </c>
      <c r="C638" s="75">
        <v>16.48</v>
      </c>
      <c r="D638" s="75"/>
      <c r="F638" s="71">
        <v>575</v>
      </c>
      <c r="H638" s="72">
        <v>18.64</v>
      </c>
      <c r="I638" s="71" t="s">
        <v>139</v>
      </c>
      <c r="R638" s="71">
        <v>575</v>
      </c>
      <c r="T638" s="72">
        <v>18.64</v>
      </c>
      <c r="U638" s="71" t="s">
        <v>139</v>
      </c>
    </row>
    <row r="639" spans="1:21" x14ac:dyDescent="0.55000000000000004">
      <c r="A639" s="71">
        <v>718</v>
      </c>
      <c r="C639" s="75">
        <v>16.48</v>
      </c>
      <c r="D639" s="75"/>
      <c r="F639" s="71">
        <v>575</v>
      </c>
      <c r="H639" s="72">
        <v>19.53</v>
      </c>
      <c r="I639" s="71" t="s">
        <v>139</v>
      </c>
      <c r="R639" s="71">
        <v>575</v>
      </c>
      <c r="T639" s="72">
        <v>19.53</v>
      </c>
      <c r="U639" s="71" t="s">
        <v>139</v>
      </c>
    </row>
    <row r="640" spans="1:21" x14ac:dyDescent="0.55000000000000004">
      <c r="A640" s="71">
        <v>646</v>
      </c>
      <c r="C640" s="73">
        <v>16.48</v>
      </c>
      <c r="F640" s="71">
        <v>575</v>
      </c>
      <c r="H640" s="72">
        <v>20.440000000000001</v>
      </c>
      <c r="I640" s="71" t="s">
        <v>139</v>
      </c>
      <c r="R640" s="71">
        <v>575</v>
      </c>
      <c r="T640" s="72">
        <v>20.440000000000001</v>
      </c>
      <c r="U640" s="71" t="s">
        <v>139</v>
      </c>
    </row>
    <row r="641" spans="1:21" x14ac:dyDescent="0.55000000000000004">
      <c r="A641" s="71">
        <v>486</v>
      </c>
      <c r="C641" s="73">
        <v>16.489999999999998</v>
      </c>
      <c r="F641" s="71">
        <v>575</v>
      </c>
      <c r="H641" s="72">
        <v>20.57</v>
      </c>
      <c r="I641" s="71" t="s">
        <v>139</v>
      </c>
      <c r="R641" s="71">
        <v>575</v>
      </c>
      <c r="T641" s="72">
        <v>20.57</v>
      </c>
      <c r="U641" s="71" t="s">
        <v>139</v>
      </c>
    </row>
    <row r="642" spans="1:21" x14ac:dyDescent="0.55000000000000004">
      <c r="A642" s="71">
        <v>776</v>
      </c>
      <c r="C642" s="73">
        <v>16.5</v>
      </c>
      <c r="F642" s="71">
        <v>584</v>
      </c>
      <c r="H642" s="72">
        <v>16.05</v>
      </c>
      <c r="I642" s="71" t="s">
        <v>139</v>
      </c>
      <c r="R642" s="71">
        <v>584</v>
      </c>
      <c r="T642" s="72">
        <v>16.05</v>
      </c>
      <c r="U642" s="71" t="s">
        <v>139</v>
      </c>
    </row>
    <row r="643" spans="1:21" x14ac:dyDescent="0.55000000000000004">
      <c r="A643" s="71">
        <v>776</v>
      </c>
      <c r="C643" s="73">
        <v>16.5</v>
      </c>
      <c r="F643" s="71">
        <v>584</v>
      </c>
      <c r="H643" s="72">
        <v>16.05</v>
      </c>
      <c r="I643" s="71" t="s">
        <v>139</v>
      </c>
      <c r="R643" s="71">
        <v>584</v>
      </c>
      <c r="T643" s="72">
        <v>16.05</v>
      </c>
      <c r="U643" s="71" t="s">
        <v>139</v>
      </c>
    </row>
    <row r="644" spans="1:21" x14ac:dyDescent="0.55000000000000004">
      <c r="A644" s="71">
        <v>776</v>
      </c>
      <c r="C644" s="73">
        <v>16.5</v>
      </c>
      <c r="F644" s="71">
        <v>584</v>
      </c>
      <c r="H644" s="72">
        <v>16.05</v>
      </c>
      <c r="I644" s="71" t="s">
        <v>139</v>
      </c>
      <c r="R644" s="71">
        <v>584</v>
      </c>
      <c r="T644" s="72">
        <v>16.05</v>
      </c>
      <c r="U644" s="71" t="s">
        <v>139</v>
      </c>
    </row>
    <row r="645" spans="1:21" x14ac:dyDescent="0.55000000000000004">
      <c r="A645" s="71">
        <v>776</v>
      </c>
      <c r="C645" s="73">
        <v>16.5</v>
      </c>
      <c r="F645" s="71">
        <v>584</v>
      </c>
      <c r="H645" s="72">
        <v>16.05</v>
      </c>
      <c r="I645" s="71" t="s">
        <v>139</v>
      </c>
      <c r="R645" s="71">
        <v>584</v>
      </c>
      <c r="T645" s="72">
        <v>16.05</v>
      </c>
      <c r="U645" s="71" t="s">
        <v>139</v>
      </c>
    </row>
    <row r="646" spans="1:21" x14ac:dyDescent="0.55000000000000004">
      <c r="A646" s="71">
        <v>205</v>
      </c>
      <c r="C646" s="73">
        <v>16.5</v>
      </c>
      <c r="F646" s="71">
        <v>584</v>
      </c>
      <c r="H646" s="72">
        <v>16.05</v>
      </c>
      <c r="I646" s="71" t="s">
        <v>139</v>
      </c>
      <c r="R646" s="71">
        <v>584</v>
      </c>
      <c r="T646" s="72">
        <v>16.05</v>
      </c>
      <c r="U646" s="71" t="s">
        <v>139</v>
      </c>
    </row>
    <row r="647" spans="1:21" x14ac:dyDescent="0.55000000000000004">
      <c r="A647" s="71">
        <v>234</v>
      </c>
      <c r="C647" s="73">
        <v>16.5</v>
      </c>
      <c r="F647" s="71">
        <v>584</v>
      </c>
      <c r="H647" s="72">
        <v>16.350000000000001</v>
      </c>
      <c r="I647" s="71" t="s">
        <v>139</v>
      </c>
      <c r="R647" s="71">
        <v>584</v>
      </c>
      <c r="T647" s="72">
        <v>16.350000000000001</v>
      </c>
      <c r="U647" s="71" t="s">
        <v>139</v>
      </c>
    </row>
    <row r="648" spans="1:21" x14ac:dyDescent="0.55000000000000004">
      <c r="A648" s="71">
        <v>234</v>
      </c>
      <c r="C648" s="73">
        <v>16.5</v>
      </c>
      <c r="D648" s="73">
        <v>18.510000000000002</v>
      </c>
      <c r="F648" s="71">
        <v>584</v>
      </c>
      <c r="H648" s="72">
        <v>16.350000000000001</v>
      </c>
      <c r="I648" s="71" t="s">
        <v>139</v>
      </c>
      <c r="R648" s="71">
        <v>584</v>
      </c>
      <c r="T648" s="72">
        <v>16.350000000000001</v>
      </c>
      <c r="U648" s="71" t="s">
        <v>139</v>
      </c>
    </row>
    <row r="649" spans="1:21" x14ac:dyDescent="0.55000000000000004">
      <c r="A649" s="71">
        <v>563</v>
      </c>
      <c r="C649" s="73">
        <v>16.5</v>
      </c>
      <c r="D649" s="73">
        <v>18.510000000000002</v>
      </c>
      <c r="F649" s="71">
        <v>584</v>
      </c>
      <c r="H649" s="72">
        <v>16.75</v>
      </c>
      <c r="I649" s="71" t="s">
        <v>139</v>
      </c>
      <c r="R649" s="71">
        <v>584</v>
      </c>
      <c r="T649" s="72">
        <v>16.75</v>
      </c>
      <c r="U649" s="71" t="s">
        <v>139</v>
      </c>
    </row>
    <row r="650" spans="1:21" x14ac:dyDescent="0.55000000000000004">
      <c r="A650" s="71">
        <v>563</v>
      </c>
      <c r="C650" s="73">
        <v>16.5</v>
      </c>
      <c r="D650" s="73">
        <v>17.510000000000002</v>
      </c>
      <c r="F650" s="71">
        <v>584</v>
      </c>
      <c r="H650" s="72">
        <v>17</v>
      </c>
      <c r="I650" s="71" t="s">
        <v>139</v>
      </c>
      <c r="R650" s="71">
        <v>584</v>
      </c>
      <c r="T650" s="72">
        <v>17</v>
      </c>
      <c r="U650" s="71" t="s">
        <v>139</v>
      </c>
    </row>
    <row r="651" spans="1:21" x14ac:dyDescent="0.55000000000000004">
      <c r="A651" s="71">
        <v>420</v>
      </c>
      <c r="C651" s="73">
        <v>16.5</v>
      </c>
      <c r="F651" s="71">
        <v>584</v>
      </c>
      <c r="H651" s="72">
        <v>17.5</v>
      </c>
      <c r="I651" s="71" t="s">
        <v>139</v>
      </c>
      <c r="R651" s="71">
        <v>584</v>
      </c>
      <c r="T651" s="72">
        <v>17.5</v>
      </c>
      <c r="U651" s="71" t="s">
        <v>139</v>
      </c>
    </row>
    <row r="652" spans="1:21" x14ac:dyDescent="0.55000000000000004">
      <c r="A652" s="71">
        <v>277</v>
      </c>
      <c r="C652" s="73">
        <v>16.502800000000001</v>
      </c>
      <c r="F652" s="71">
        <v>584</v>
      </c>
      <c r="H652" s="72">
        <v>19.57</v>
      </c>
      <c r="I652" s="71" t="s">
        <v>139</v>
      </c>
      <c r="R652" s="71">
        <v>584</v>
      </c>
      <c r="T652" s="72">
        <v>19.57</v>
      </c>
      <c r="U652" s="71" t="s">
        <v>139</v>
      </c>
    </row>
    <row r="653" spans="1:21" x14ac:dyDescent="0.55000000000000004">
      <c r="A653" s="71">
        <v>535</v>
      </c>
      <c r="C653" s="73">
        <v>16.53</v>
      </c>
      <c r="F653" s="71">
        <v>604</v>
      </c>
      <c r="H653" s="72">
        <v>15.74</v>
      </c>
      <c r="I653" s="71" t="s">
        <v>139</v>
      </c>
      <c r="R653" s="71">
        <v>604</v>
      </c>
      <c r="T653" s="72">
        <v>15.74</v>
      </c>
      <c r="U653" s="71" t="s">
        <v>139</v>
      </c>
    </row>
    <row r="654" spans="1:21" x14ac:dyDescent="0.55000000000000004">
      <c r="A654" s="71">
        <v>543</v>
      </c>
      <c r="C654" s="73">
        <v>16.54</v>
      </c>
      <c r="D654" s="73">
        <v>19.57</v>
      </c>
      <c r="F654" s="71">
        <v>604</v>
      </c>
      <c r="H654" s="72">
        <v>15.74</v>
      </c>
      <c r="I654" s="71" t="s">
        <v>139</v>
      </c>
      <c r="R654" s="71">
        <v>604</v>
      </c>
      <c r="T654" s="72">
        <v>15.74</v>
      </c>
      <c r="U654" s="71" t="s">
        <v>139</v>
      </c>
    </row>
    <row r="655" spans="1:21" x14ac:dyDescent="0.55000000000000004">
      <c r="A655" s="71">
        <v>156</v>
      </c>
      <c r="C655" s="73">
        <v>16.55</v>
      </c>
      <c r="D655" s="73">
        <v>19.57</v>
      </c>
      <c r="F655" s="71">
        <v>604</v>
      </c>
      <c r="H655" s="72">
        <v>15.74</v>
      </c>
      <c r="I655" s="71" t="s">
        <v>139</v>
      </c>
      <c r="R655" s="71">
        <v>604</v>
      </c>
      <c r="T655" s="72">
        <v>15.74</v>
      </c>
      <c r="U655" s="71" t="s">
        <v>139</v>
      </c>
    </row>
    <row r="656" spans="1:21" x14ac:dyDescent="0.55000000000000004">
      <c r="A656" s="71">
        <v>486</v>
      </c>
      <c r="C656" s="73">
        <v>16.559999999999999</v>
      </c>
      <c r="D656" s="73">
        <v>19.72</v>
      </c>
      <c r="F656" s="71">
        <v>604</v>
      </c>
      <c r="H656" s="72">
        <v>17.66</v>
      </c>
      <c r="I656" s="71" t="s">
        <v>139</v>
      </c>
      <c r="R656" s="71">
        <v>604</v>
      </c>
      <c r="T656" s="72">
        <v>17.66</v>
      </c>
      <c r="U656" s="71" t="s">
        <v>139</v>
      </c>
    </row>
    <row r="657" spans="1:21" x14ac:dyDescent="0.55000000000000004">
      <c r="A657" s="71">
        <v>540</v>
      </c>
      <c r="C657" s="73">
        <v>16.57</v>
      </c>
      <c r="F657" s="71">
        <v>604</v>
      </c>
      <c r="H657" s="72">
        <v>17.98</v>
      </c>
      <c r="I657" s="71" t="s">
        <v>139</v>
      </c>
      <c r="R657" s="71">
        <v>604</v>
      </c>
      <c r="T657" s="72">
        <v>17.98</v>
      </c>
      <c r="U657" s="71" t="s">
        <v>139</v>
      </c>
    </row>
    <row r="658" spans="1:21" x14ac:dyDescent="0.55000000000000004">
      <c r="A658" s="71">
        <v>540</v>
      </c>
      <c r="C658" s="73">
        <v>16.579999999999998</v>
      </c>
      <c r="F658" s="71">
        <v>604</v>
      </c>
      <c r="H658" s="72">
        <v>22.18</v>
      </c>
      <c r="I658" s="71" t="s">
        <v>139</v>
      </c>
      <c r="R658" s="71">
        <v>604</v>
      </c>
      <c r="T658" s="72">
        <v>22.18</v>
      </c>
      <c r="U658" s="71" t="s">
        <v>139</v>
      </c>
    </row>
    <row r="659" spans="1:21" x14ac:dyDescent="0.55000000000000004">
      <c r="A659" s="71">
        <v>540</v>
      </c>
      <c r="C659" s="73">
        <v>16.59</v>
      </c>
      <c r="F659" s="71">
        <v>604</v>
      </c>
      <c r="H659" s="72">
        <v>22.31</v>
      </c>
      <c r="I659" s="71" t="s">
        <v>139</v>
      </c>
      <c r="R659" s="71">
        <v>604</v>
      </c>
      <c r="T659" s="72">
        <v>22.31</v>
      </c>
      <c r="U659" s="71" t="s">
        <v>139</v>
      </c>
    </row>
    <row r="660" spans="1:21" x14ac:dyDescent="0.55000000000000004">
      <c r="A660" s="71">
        <v>540</v>
      </c>
      <c r="C660" s="73">
        <v>16.59</v>
      </c>
      <c r="F660" s="71">
        <v>604</v>
      </c>
      <c r="H660" s="72">
        <v>22.31</v>
      </c>
      <c r="I660" s="71" t="s">
        <v>139</v>
      </c>
      <c r="R660" s="71">
        <v>604</v>
      </c>
      <c r="T660" s="72">
        <v>22.31</v>
      </c>
      <c r="U660" s="71" t="s">
        <v>139</v>
      </c>
    </row>
    <row r="661" spans="1:21" x14ac:dyDescent="0.55000000000000004">
      <c r="A661" s="71">
        <v>540</v>
      </c>
      <c r="C661" s="73">
        <v>16.59</v>
      </c>
      <c r="F661" s="71">
        <v>606</v>
      </c>
      <c r="H661" s="72">
        <v>14.99</v>
      </c>
      <c r="I661" s="71" t="s">
        <v>139</v>
      </c>
      <c r="R661" s="71">
        <v>606</v>
      </c>
      <c r="T661" s="72">
        <v>14.99</v>
      </c>
      <c r="U661" s="71" t="s">
        <v>139</v>
      </c>
    </row>
    <row r="662" spans="1:21" x14ac:dyDescent="0.55000000000000004">
      <c r="A662" s="71">
        <v>962</v>
      </c>
      <c r="C662" s="73">
        <v>16.600000000000001</v>
      </c>
      <c r="F662" s="71">
        <v>606</v>
      </c>
      <c r="H662" s="72">
        <v>15.51</v>
      </c>
      <c r="I662" s="71" t="s">
        <v>139</v>
      </c>
      <c r="R662" s="71">
        <v>606</v>
      </c>
      <c r="T662" s="72">
        <v>15.51</v>
      </c>
      <c r="U662" s="71" t="s">
        <v>139</v>
      </c>
    </row>
    <row r="663" spans="1:21" x14ac:dyDescent="0.55000000000000004">
      <c r="A663" s="71">
        <v>606</v>
      </c>
      <c r="C663" s="73">
        <v>16.61</v>
      </c>
      <c r="D663" s="73">
        <v>18.39</v>
      </c>
      <c r="F663" s="71">
        <v>606</v>
      </c>
      <c r="H663" s="72">
        <v>16.61</v>
      </c>
      <c r="I663" s="71" t="s">
        <v>139</v>
      </c>
      <c r="R663" s="71">
        <v>606</v>
      </c>
      <c r="T663" s="72">
        <v>16.61</v>
      </c>
      <c r="U663" s="71" t="s">
        <v>139</v>
      </c>
    </row>
    <row r="664" spans="1:21" x14ac:dyDescent="0.55000000000000004">
      <c r="A664" s="71">
        <v>540</v>
      </c>
      <c r="C664" s="73">
        <v>16.62</v>
      </c>
      <c r="D664" s="73">
        <v>19.7</v>
      </c>
      <c r="F664" s="71">
        <v>606</v>
      </c>
      <c r="H664" s="72">
        <v>17.649999999999999</v>
      </c>
      <c r="I664" s="71" t="s">
        <v>139</v>
      </c>
      <c r="R664" s="71">
        <v>606</v>
      </c>
      <c r="T664" s="72">
        <v>17.649999999999999</v>
      </c>
      <c r="U664" s="71" t="s">
        <v>139</v>
      </c>
    </row>
    <row r="665" spans="1:21" x14ac:dyDescent="0.55000000000000004">
      <c r="A665" s="71">
        <v>984</v>
      </c>
      <c r="C665" s="73">
        <v>16.649999999999999</v>
      </c>
      <c r="D665" s="73">
        <v>20.5</v>
      </c>
      <c r="F665" s="71">
        <v>606</v>
      </c>
      <c r="H665" s="72">
        <v>17.649999999999999</v>
      </c>
      <c r="I665" s="71" t="s">
        <v>139</v>
      </c>
      <c r="R665" s="71">
        <v>606</v>
      </c>
      <c r="T665" s="72">
        <v>17.649999999999999</v>
      </c>
      <c r="U665" s="71" t="s">
        <v>139</v>
      </c>
    </row>
    <row r="666" spans="1:21" x14ac:dyDescent="0.55000000000000004">
      <c r="A666" s="71">
        <v>268</v>
      </c>
      <c r="C666" s="73">
        <v>16.66</v>
      </c>
      <c r="D666" s="73">
        <v>19.7</v>
      </c>
      <c r="F666" s="71">
        <v>606</v>
      </c>
      <c r="H666" s="72">
        <v>18.12</v>
      </c>
      <c r="I666" s="71" t="s">
        <v>139</v>
      </c>
      <c r="R666" s="71">
        <v>606</v>
      </c>
      <c r="T666" s="72">
        <v>18.12</v>
      </c>
      <c r="U666" s="71" t="s">
        <v>139</v>
      </c>
    </row>
    <row r="667" spans="1:21" x14ac:dyDescent="0.55000000000000004">
      <c r="A667" s="71">
        <v>953</v>
      </c>
      <c r="C667" s="73">
        <v>16.68</v>
      </c>
      <c r="D667" s="73">
        <v>19.7</v>
      </c>
      <c r="F667" s="71">
        <v>606</v>
      </c>
      <c r="H667" s="72">
        <v>18.45</v>
      </c>
      <c r="I667" s="71" t="s">
        <v>139</v>
      </c>
      <c r="R667" s="71">
        <v>606</v>
      </c>
      <c r="T667" s="72">
        <v>18.45</v>
      </c>
      <c r="U667" s="71" t="s">
        <v>139</v>
      </c>
    </row>
    <row r="668" spans="1:21" x14ac:dyDescent="0.55000000000000004">
      <c r="A668" s="71">
        <v>826</v>
      </c>
      <c r="C668" s="73">
        <v>16.690000000000001</v>
      </c>
      <c r="F668" s="71">
        <v>606</v>
      </c>
      <c r="H668" s="72">
        <v>19.46</v>
      </c>
      <c r="I668" s="71" t="s">
        <v>139</v>
      </c>
      <c r="R668" s="71">
        <v>606</v>
      </c>
      <c r="T668" s="72">
        <v>19.46</v>
      </c>
      <c r="U668" s="71" t="s">
        <v>139</v>
      </c>
    </row>
    <row r="669" spans="1:21" x14ac:dyDescent="0.55000000000000004">
      <c r="A669" s="71">
        <v>560</v>
      </c>
      <c r="C669" s="73">
        <v>16.72</v>
      </c>
      <c r="F669" s="71">
        <v>606</v>
      </c>
      <c r="H669" s="72">
        <v>20.16</v>
      </c>
      <c r="I669" s="71" t="s">
        <v>139</v>
      </c>
      <c r="R669" s="71">
        <v>606</v>
      </c>
      <c r="T669" s="72">
        <v>20.16</v>
      </c>
      <c r="U669" s="71" t="s">
        <v>139</v>
      </c>
    </row>
    <row r="670" spans="1:21" x14ac:dyDescent="0.55000000000000004">
      <c r="A670" s="71">
        <v>901</v>
      </c>
      <c r="C670" s="73">
        <v>16.72</v>
      </c>
      <c r="F670" s="71">
        <v>642</v>
      </c>
      <c r="H670" s="72">
        <v>16.829999999999998</v>
      </c>
      <c r="I670" s="71" t="s">
        <v>139</v>
      </c>
      <c r="R670" s="71">
        <v>642</v>
      </c>
      <c r="T670" s="72">
        <v>16.829999999999998</v>
      </c>
      <c r="U670" s="71" t="s">
        <v>139</v>
      </c>
    </row>
    <row r="671" spans="1:21" x14ac:dyDescent="0.55000000000000004">
      <c r="A671" s="71">
        <v>901</v>
      </c>
      <c r="C671" s="73">
        <v>16.72</v>
      </c>
      <c r="F671" s="71">
        <v>642</v>
      </c>
      <c r="H671" s="72">
        <v>16.829999999999998</v>
      </c>
      <c r="I671" s="71" t="s">
        <v>139</v>
      </c>
      <c r="R671" s="71">
        <v>642</v>
      </c>
      <c r="T671" s="72">
        <v>16.829999999999998</v>
      </c>
      <c r="U671" s="71" t="s">
        <v>139</v>
      </c>
    </row>
    <row r="672" spans="1:21" x14ac:dyDescent="0.55000000000000004">
      <c r="A672" s="71">
        <v>901</v>
      </c>
      <c r="C672" s="73">
        <v>16.72</v>
      </c>
      <c r="D672" s="73">
        <v>22.5</v>
      </c>
      <c r="F672" s="71">
        <v>642</v>
      </c>
      <c r="H672" s="72">
        <v>16.829999999999998</v>
      </c>
      <c r="I672" s="71" t="s">
        <v>139</v>
      </c>
      <c r="R672" s="71">
        <v>642</v>
      </c>
      <c r="T672" s="72">
        <v>16.829999999999998</v>
      </c>
      <c r="U672" s="71" t="s">
        <v>139</v>
      </c>
    </row>
    <row r="673" spans="1:21" x14ac:dyDescent="0.55000000000000004">
      <c r="A673" s="71">
        <v>584</v>
      </c>
      <c r="C673" s="73">
        <v>16.75</v>
      </c>
      <c r="D673" s="73">
        <v>22</v>
      </c>
      <c r="F673" s="71">
        <v>642</v>
      </c>
      <c r="H673" s="72">
        <v>16.829999999999998</v>
      </c>
      <c r="I673" s="71" t="s">
        <v>139</v>
      </c>
      <c r="R673" s="71">
        <v>642</v>
      </c>
      <c r="T673" s="72">
        <v>16.829999999999998</v>
      </c>
      <c r="U673" s="71" t="s">
        <v>139</v>
      </c>
    </row>
    <row r="674" spans="1:21" x14ac:dyDescent="0.55000000000000004">
      <c r="A674" s="71">
        <v>486</v>
      </c>
      <c r="C674" s="73">
        <v>16.75</v>
      </c>
      <c r="D674" s="73">
        <v>20</v>
      </c>
      <c r="F674" s="71">
        <v>642</v>
      </c>
      <c r="H674" s="72">
        <v>16.829999999999998</v>
      </c>
      <c r="I674" s="71" t="s">
        <v>139</v>
      </c>
      <c r="R674" s="71">
        <v>642</v>
      </c>
      <c r="T674" s="72">
        <v>16.829999999999998</v>
      </c>
      <c r="U674" s="71" t="s">
        <v>139</v>
      </c>
    </row>
    <row r="675" spans="1:21" x14ac:dyDescent="0.55000000000000004">
      <c r="A675" s="71">
        <v>712</v>
      </c>
      <c r="C675" s="73">
        <v>16.75</v>
      </c>
      <c r="D675" s="73">
        <v>21</v>
      </c>
      <c r="F675" s="71">
        <v>642</v>
      </c>
      <c r="H675" s="72">
        <v>17.34</v>
      </c>
      <c r="I675" s="71" t="s">
        <v>139</v>
      </c>
      <c r="R675" s="71">
        <v>642</v>
      </c>
      <c r="T675" s="72">
        <v>17.34</v>
      </c>
      <c r="U675" s="71" t="s">
        <v>139</v>
      </c>
    </row>
    <row r="676" spans="1:21" x14ac:dyDescent="0.55000000000000004">
      <c r="A676" s="71">
        <v>712</v>
      </c>
      <c r="C676" s="73">
        <v>16.75</v>
      </c>
      <c r="D676" s="73">
        <v>20.75</v>
      </c>
      <c r="F676" s="71">
        <v>642</v>
      </c>
      <c r="H676" s="72">
        <v>17.34</v>
      </c>
      <c r="I676" s="71" t="s">
        <v>139</v>
      </c>
      <c r="R676" s="71">
        <v>642</v>
      </c>
      <c r="T676" s="72">
        <v>17.34</v>
      </c>
      <c r="U676" s="71" t="s">
        <v>139</v>
      </c>
    </row>
    <row r="677" spans="1:21" x14ac:dyDescent="0.55000000000000004">
      <c r="A677" s="71">
        <v>712</v>
      </c>
      <c r="C677" s="73">
        <v>16.75</v>
      </c>
      <c r="F677" s="71">
        <v>642</v>
      </c>
      <c r="H677" s="72">
        <v>17.37</v>
      </c>
      <c r="I677" s="71" t="s">
        <v>139</v>
      </c>
      <c r="R677" s="71">
        <v>642</v>
      </c>
      <c r="T677" s="72">
        <v>17.37</v>
      </c>
      <c r="U677" s="71" t="s">
        <v>139</v>
      </c>
    </row>
    <row r="678" spans="1:21" x14ac:dyDescent="0.55000000000000004">
      <c r="A678" s="71">
        <v>712</v>
      </c>
      <c r="C678" s="73">
        <v>16.75</v>
      </c>
      <c r="F678" s="71">
        <v>642</v>
      </c>
      <c r="H678" s="72">
        <v>17.850000000000001</v>
      </c>
      <c r="I678" s="71" t="s">
        <v>139</v>
      </c>
      <c r="R678" s="71">
        <v>642</v>
      </c>
      <c r="T678" s="72">
        <v>17.850000000000001</v>
      </c>
      <c r="U678" s="71" t="s">
        <v>139</v>
      </c>
    </row>
    <row r="679" spans="1:21" x14ac:dyDescent="0.55000000000000004">
      <c r="A679" s="71">
        <v>712</v>
      </c>
      <c r="C679" s="73">
        <v>16.75</v>
      </c>
      <c r="F679" s="71">
        <v>642</v>
      </c>
      <c r="H679" s="72">
        <v>19.37</v>
      </c>
      <c r="I679" s="71" t="s">
        <v>139</v>
      </c>
      <c r="R679" s="71">
        <v>642</v>
      </c>
      <c r="T679" s="72">
        <v>19.37</v>
      </c>
      <c r="U679" s="71" t="s">
        <v>139</v>
      </c>
    </row>
    <row r="680" spans="1:21" x14ac:dyDescent="0.55000000000000004">
      <c r="A680" s="71">
        <v>718</v>
      </c>
      <c r="C680" s="75">
        <v>16.760000000000002</v>
      </c>
      <c r="D680" s="75"/>
      <c r="F680" s="71">
        <v>642</v>
      </c>
      <c r="H680" s="72">
        <v>21.42</v>
      </c>
      <c r="I680" s="71" t="s">
        <v>139</v>
      </c>
      <c r="R680" s="71">
        <v>642</v>
      </c>
      <c r="T680" s="72">
        <v>21.42</v>
      </c>
      <c r="U680" s="71" t="s">
        <v>139</v>
      </c>
    </row>
    <row r="681" spans="1:21" x14ac:dyDescent="0.55000000000000004">
      <c r="A681" s="71">
        <v>452</v>
      </c>
      <c r="C681" s="73">
        <v>16.78</v>
      </c>
      <c r="F681" s="71">
        <v>642</v>
      </c>
      <c r="H681" s="72">
        <v>21.42</v>
      </c>
      <c r="I681" s="71" t="s">
        <v>139</v>
      </c>
      <c r="R681" s="71">
        <v>642</v>
      </c>
      <c r="T681" s="72">
        <v>21.42</v>
      </c>
      <c r="U681" s="71" t="s">
        <v>139</v>
      </c>
    </row>
    <row r="682" spans="1:21" x14ac:dyDescent="0.55000000000000004">
      <c r="A682" s="71">
        <v>572</v>
      </c>
      <c r="C682" s="73">
        <v>16.809999999999999</v>
      </c>
      <c r="D682" s="73">
        <v>22.78</v>
      </c>
      <c r="F682" s="71">
        <v>642</v>
      </c>
      <c r="H682" s="72">
        <v>21.42</v>
      </c>
      <c r="I682" s="71" t="s">
        <v>139</v>
      </c>
      <c r="R682" s="71">
        <v>642</v>
      </c>
      <c r="T682" s="72">
        <v>21.42</v>
      </c>
      <c r="U682" s="71" t="s">
        <v>139</v>
      </c>
    </row>
    <row r="683" spans="1:21" x14ac:dyDescent="0.55000000000000004">
      <c r="A683" s="71">
        <v>642</v>
      </c>
      <c r="C683" s="74">
        <v>16.829999999999998</v>
      </c>
      <c r="D683" s="74">
        <v>19.809999999999999</v>
      </c>
      <c r="F683" s="71">
        <v>642</v>
      </c>
      <c r="H683" s="72">
        <v>21.42</v>
      </c>
      <c r="I683" s="71" t="s">
        <v>139</v>
      </c>
      <c r="R683" s="71">
        <v>642</v>
      </c>
      <c r="T683" s="72">
        <v>21.42</v>
      </c>
      <c r="U683" s="71" t="s">
        <v>139</v>
      </c>
    </row>
    <row r="684" spans="1:21" x14ac:dyDescent="0.55000000000000004">
      <c r="A684" s="71">
        <v>642</v>
      </c>
      <c r="C684" s="74">
        <v>16.829999999999998</v>
      </c>
      <c r="D684" s="74">
        <v>17.059999999999999</v>
      </c>
      <c r="F684" s="71">
        <v>644</v>
      </c>
      <c r="H684" s="72">
        <v>15.84</v>
      </c>
      <c r="I684" s="71" t="s">
        <v>139</v>
      </c>
      <c r="R684" s="71">
        <v>644</v>
      </c>
      <c r="T684" s="72">
        <v>15.84</v>
      </c>
      <c r="U684" s="71" t="s">
        <v>139</v>
      </c>
    </row>
    <row r="685" spans="1:21" x14ac:dyDescent="0.55000000000000004">
      <c r="A685" s="71">
        <v>642</v>
      </c>
      <c r="C685" s="73">
        <v>16.829999999999998</v>
      </c>
      <c r="F685" s="71">
        <v>644</v>
      </c>
      <c r="H685" s="72">
        <v>16.12</v>
      </c>
      <c r="I685" s="71" t="s">
        <v>139</v>
      </c>
      <c r="R685" s="71">
        <v>644</v>
      </c>
      <c r="T685" s="72">
        <v>16.12</v>
      </c>
      <c r="U685" s="71" t="s">
        <v>139</v>
      </c>
    </row>
    <row r="686" spans="1:21" x14ac:dyDescent="0.55000000000000004">
      <c r="A686" s="71">
        <v>642</v>
      </c>
      <c r="C686" s="73">
        <v>16.829999999999998</v>
      </c>
      <c r="F686" s="71">
        <v>644</v>
      </c>
      <c r="H686" s="72">
        <v>18.32</v>
      </c>
      <c r="I686" s="71" t="s">
        <v>139</v>
      </c>
      <c r="R686" s="71">
        <v>644</v>
      </c>
      <c r="T686" s="72">
        <v>18.32</v>
      </c>
      <c r="U686" s="71" t="s">
        <v>139</v>
      </c>
    </row>
    <row r="687" spans="1:21" x14ac:dyDescent="0.55000000000000004">
      <c r="A687" s="71">
        <v>642</v>
      </c>
      <c r="C687" s="73">
        <v>16.829999999999998</v>
      </c>
      <c r="F687" s="71">
        <v>644</v>
      </c>
      <c r="H687" s="72">
        <v>19.32</v>
      </c>
      <c r="I687" s="71" t="s">
        <v>139</v>
      </c>
      <c r="R687" s="71">
        <v>644</v>
      </c>
      <c r="T687" s="72">
        <v>19.32</v>
      </c>
      <c r="U687" s="71" t="s">
        <v>139</v>
      </c>
    </row>
    <row r="688" spans="1:21" x14ac:dyDescent="0.55000000000000004">
      <c r="A688" s="71">
        <v>646</v>
      </c>
      <c r="C688" s="73">
        <v>16.850000000000001</v>
      </c>
      <c r="F688" s="71">
        <v>646</v>
      </c>
      <c r="H688" s="72">
        <v>14.68</v>
      </c>
      <c r="I688" s="71" t="s">
        <v>139</v>
      </c>
      <c r="R688" s="71">
        <v>646</v>
      </c>
      <c r="T688" s="72">
        <v>14.68</v>
      </c>
      <c r="U688" s="71" t="s">
        <v>139</v>
      </c>
    </row>
    <row r="689" spans="1:21" x14ac:dyDescent="0.55000000000000004">
      <c r="A689" s="71">
        <v>646</v>
      </c>
      <c r="C689" s="73">
        <v>16.86</v>
      </c>
      <c r="F689" s="71">
        <v>646</v>
      </c>
      <c r="H689" s="72">
        <v>14.68</v>
      </c>
      <c r="I689" s="71" t="s">
        <v>139</v>
      </c>
      <c r="R689" s="71">
        <v>646</v>
      </c>
      <c r="T689" s="72">
        <v>14.68</v>
      </c>
      <c r="U689" s="71" t="s">
        <v>139</v>
      </c>
    </row>
    <row r="690" spans="1:21" x14ac:dyDescent="0.55000000000000004">
      <c r="A690" s="71">
        <v>646</v>
      </c>
      <c r="C690" s="73">
        <v>16.86</v>
      </c>
      <c r="F690" s="71">
        <v>646</v>
      </c>
      <c r="H690" s="72">
        <v>14.68</v>
      </c>
      <c r="I690" s="71" t="s">
        <v>139</v>
      </c>
      <c r="R690" s="71">
        <v>646</v>
      </c>
      <c r="T690" s="72">
        <v>14.68</v>
      </c>
      <c r="U690" s="71" t="s">
        <v>139</v>
      </c>
    </row>
    <row r="691" spans="1:21" x14ac:dyDescent="0.55000000000000004">
      <c r="A691" s="71">
        <v>646</v>
      </c>
      <c r="C691" s="73">
        <v>16.86</v>
      </c>
      <c r="D691" s="73">
        <v>16.100000000000001</v>
      </c>
      <c r="F691" s="71">
        <v>646</v>
      </c>
      <c r="H691" s="72">
        <v>14.68</v>
      </c>
      <c r="I691" s="71" t="s">
        <v>139</v>
      </c>
      <c r="R691" s="71">
        <v>646</v>
      </c>
      <c r="T691" s="72">
        <v>14.68</v>
      </c>
      <c r="U691" s="71" t="s">
        <v>139</v>
      </c>
    </row>
    <row r="692" spans="1:21" x14ac:dyDescent="0.55000000000000004">
      <c r="A692" s="71">
        <v>718</v>
      </c>
      <c r="C692" s="75">
        <v>16.89</v>
      </c>
      <c r="D692" s="75">
        <v>20.8</v>
      </c>
      <c r="F692" s="71">
        <v>646</v>
      </c>
      <c r="H692" s="72">
        <v>14.68</v>
      </c>
      <c r="I692" s="71" t="s">
        <v>139</v>
      </c>
      <c r="R692" s="71">
        <v>646</v>
      </c>
      <c r="T692" s="72">
        <v>14.68</v>
      </c>
      <c r="U692" s="71" t="s">
        <v>139</v>
      </c>
    </row>
    <row r="693" spans="1:21" x14ac:dyDescent="0.55000000000000004">
      <c r="A693" s="71">
        <v>718</v>
      </c>
      <c r="C693" s="75">
        <v>16.89</v>
      </c>
      <c r="D693" s="75">
        <v>15.96</v>
      </c>
      <c r="F693" s="71">
        <v>646</v>
      </c>
      <c r="H693" s="72">
        <v>14.68</v>
      </c>
      <c r="I693" s="71" t="s">
        <v>139</v>
      </c>
      <c r="R693" s="71">
        <v>646</v>
      </c>
      <c r="T693" s="72">
        <v>14.68</v>
      </c>
      <c r="U693" s="71" t="s">
        <v>139</v>
      </c>
    </row>
    <row r="694" spans="1:21" x14ac:dyDescent="0.55000000000000004">
      <c r="A694" s="71">
        <v>540</v>
      </c>
      <c r="C694" s="73">
        <v>16.89</v>
      </c>
      <c r="D694" s="73">
        <v>23.59</v>
      </c>
      <c r="F694" s="71">
        <v>646</v>
      </c>
      <c r="H694" s="72">
        <v>14.68</v>
      </c>
      <c r="I694" s="71" t="s">
        <v>139</v>
      </c>
      <c r="R694" s="71">
        <v>646</v>
      </c>
      <c r="T694" s="72">
        <v>14.68</v>
      </c>
      <c r="U694" s="71" t="s">
        <v>139</v>
      </c>
    </row>
    <row r="695" spans="1:21" x14ac:dyDescent="0.55000000000000004">
      <c r="A695" s="71">
        <v>173</v>
      </c>
      <c r="C695" s="73">
        <v>16.899999999999999</v>
      </c>
      <c r="D695" s="73">
        <v>21.65</v>
      </c>
      <c r="F695" s="71">
        <v>646</v>
      </c>
      <c r="H695" s="72">
        <v>14.68</v>
      </c>
      <c r="I695" s="71" t="s">
        <v>139</v>
      </c>
      <c r="R695" s="71">
        <v>646</v>
      </c>
      <c r="T695" s="72">
        <v>14.68</v>
      </c>
      <c r="U695" s="71" t="s">
        <v>139</v>
      </c>
    </row>
    <row r="696" spans="1:21" x14ac:dyDescent="0.55000000000000004">
      <c r="A696" s="71">
        <v>173</v>
      </c>
      <c r="C696" s="73">
        <v>16.899999999999999</v>
      </c>
      <c r="D696" s="73">
        <v>17.5</v>
      </c>
      <c r="F696" s="71">
        <v>646</v>
      </c>
      <c r="H696" s="72">
        <v>14.68</v>
      </c>
      <c r="I696" s="71" t="s">
        <v>139</v>
      </c>
      <c r="R696" s="71">
        <v>646</v>
      </c>
      <c r="T696" s="72">
        <v>14.68</v>
      </c>
      <c r="U696" s="71" t="s">
        <v>139</v>
      </c>
    </row>
    <row r="697" spans="1:21" x14ac:dyDescent="0.55000000000000004">
      <c r="A697" s="71">
        <v>173</v>
      </c>
      <c r="C697" s="73">
        <v>16.899999999999999</v>
      </c>
      <c r="D697" s="73">
        <v>21.67</v>
      </c>
      <c r="F697" s="71">
        <v>646</v>
      </c>
      <c r="H697" s="72">
        <v>14.68</v>
      </c>
      <c r="I697" s="71" t="s">
        <v>139</v>
      </c>
      <c r="R697" s="71">
        <v>646</v>
      </c>
      <c r="T697" s="72">
        <v>14.68</v>
      </c>
      <c r="U697" s="71" t="s">
        <v>139</v>
      </c>
    </row>
    <row r="698" spans="1:21" x14ac:dyDescent="0.55000000000000004">
      <c r="A698" s="71">
        <v>173</v>
      </c>
      <c r="C698" s="73">
        <v>16.899999999999999</v>
      </c>
      <c r="D698" s="73">
        <v>17.5</v>
      </c>
      <c r="F698" s="71">
        <v>646</v>
      </c>
      <c r="H698" s="72">
        <v>14.68</v>
      </c>
      <c r="I698" s="71" t="s">
        <v>139</v>
      </c>
      <c r="R698" s="71">
        <v>646</v>
      </c>
      <c r="T698" s="72">
        <v>14.68</v>
      </c>
      <c r="U698" s="71" t="s">
        <v>139</v>
      </c>
    </row>
    <row r="699" spans="1:21" x14ac:dyDescent="0.55000000000000004">
      <c r="A699" s="71">
        <v>277</v>
      </c>
      <c r="C699" s="73">
        <v>16.922000000000001</v>
      </c>
      <c r="D699" s="73">
        <v>21.67</v>
      </c>
      <c r="F699" s="71">
        <v>646</v>
      </c>
      <c r="H699" s="72">
        <v>14.68</v>
      </c>
      <c r="I699" s="71" t="s">
        <v>139</v>
      </c>
      <c r="R699" s="71">
        <v>646</v>
      </c>
      <c r="T699" s="72">
        <v>14.68</v>
      </c>
      <c r="U699" s="71" t="s">
        <v>139</v>
      </c>
    </row>
    <row r="700" spans="1:21" x14ac:dyDescent="0.55000000000000004">
      <c r="A700" s="71">
        <v>318</v>
      </c>
      <c r="C700" s="73">
        <v>16.97</v>
      </c>
      <c r="F700" s="71">
        <v>646</v>
      </c>
      <c r="H700" s="72">
        <v>14.68</v>
      </c>
      <c r="I700" s="71" t="s">
        <v>139</v>
      </c>
      <c r="R700" s="71">
        <v>646</v>
      </c>
      <c r="T700" s="72">
        <v>14.68</v>
      </c>
      <c r="U700" s="71" t="s">
        <v>139</v>
      </c>
    </row>
    <row r="701" spans="1:21" x14ac:dyDescent="0.55000000000000004">
      <c r="A701" s="71">
        <v>738</v>
      </c>
      <c r="C701" s="73">
        <v>17</v>
      </c>
      <c r="F701" s="71">
        <v>646</v>
      </c>
      <c r="H701" s="72">
        <v>14.68</v>
      </c>
      <c r="I701" s="71" t="s">
        <v>139</v>
      </c>
      <c r="R701" s="71">
        <v>646</v>
      </c>
      <c r="T701" s="72">
        <v>14.68</v>
      </c>
      <c r="U701" s="71" t="s">
        <v>139</v>
      </c>
    </row>
    <row r="702" spans="1:21" x14ac:dyDescent="0.55000000000000004">
      <c r="A702" s="71">
        <v>803</v>
      </c>
      <c r="C702" s="73">
        <v>15.71</v>
      </c>
      <c r="D702" s="73">
        <v>18.329999999999998</v>
      </c>
      <c r="F702" s="71">
        <v>646</v>
      </c>
      <c r="H702" s="72">
        <v>14.68</v>
      </c>
      <c r="I702" s="71" t="s">
        <v>139</v>
      </c>
      <c r="R702" s="71">
        <v>646</v>
      </c>
      <c r="T702" s="72">
        <v>14.68</v>
      </c>
      <c r="U702" s="71" t="s">
        <v>139</v>
      </c>
    </row>
    <row r="703" spans="1:21" x14ac:dyDescent="0.55000000000000004">
      <c r="A703" s="71">
        <v>803</v>
      </c>
      <c r="C703" s="73">
        <v>15.71</v>
      </c>
      <c r="D703" s="73">
        <v>19.899999999999999</v>
      </c>
      <c r="F703" s="71">
        <v>646</v>
      </c>
      <c r="H703" s="72">
        <v>14.68</v>
      </c>
      <c r="I703" s="71" t="s">
        <v>139</v>
      </c>
      <c r="R703" s="71">
        <v>646</v>
      </c>
      <c r="T703" s="72">
        <v>14.68</v>
      </c>
      <c r="U703" s="71" t="s">
        <v>139</v>
      </c>
    </row>
    <row r="704" spans="1:21" x14ac:dyDescent="0.55000000000000004">
      <c r="A704" s="71">
        <v>803</v>
      </c>
      <c r="C704" s="73">
        <v>15.71</v>
      </c>
      <c r="D704" s="73">
        <v>17.809999999999999</v>
      </c>
      <c r="F704" s="71">
        <v>646</v>
      </c>
      <c r="H704" s="72">
        <v>14.68</v>
      </c>
      <c r="I704" s="71" t="s">
        <v>139</v>
      </c>
      <c r="R704" s="71">
        <v>646</v>
      </c>
      <c r="T704" s="72">
        <v>14.68</v>
      </c>
      <c r="U704" s="71" t="s">
        <v>139</v>
      </c>
    </row>
    <row r="705" spans="1:21" x14ac:dyDescent="0.55000000000000004">
      <c r="A705" s="71">
        <v>803</v>
      </c>
      <c r="C705" s="73">
        <v>16.239999999999998</v>
      </c>
      <c r="D705" s="73">
        <v>17.809999999999999</v>
      </c>
      <c r="F705" s="71">
        <v>646</v>
      </c>
      <c r="H705" s="72">
        <v>14.68</v>
      </c>
      <c r="I705" s="71" t="s">
        <v>139</v>
      </c>
      <c r="R705" s="71">
        <v>646</v>
      </c>
      <c r="T705" s="72">
        <v>14.68</v>
      </c>
      <c r="U705" s="71" t="s">
        <v>139</v>
      </c>
    </row>
    <row r="706" spans="1:21" x14ac:dyDescent="0.55000000000000004">
      <c r="A706" s="71">
        <v>803</v>
      </c>
      <c r="C706" s="73">
        <v>16.760000000000002</v>
      </c>
      <c r="F706" s="71">
        <v>646</v>
      </c>
      <c r="H706" s="72">
        <v>14.68</v>
      </c>
      <c r="I706" s="71" t="s">
        <v>139</v>
      </c>
      <c r="R706" s="71">
        <v>646</v>
      </c>
      <c r="T706" s="72">
        <v>14.68</v>
      </c>
      <c r="U706" s="71" t="s">
        <v>139</v>
      </c>
    </row>
    <row r="707" spans="1:21" x14ac:dyDescent="0.55000000000000004">
      <c r="A707" s="71">
        <v>316</v>
      </c>
      <c r="C707" s="73">
        <v>17</v>
      </c>
      <c r="D707" s="73">
        <v>23.3</v>
      </c>
      <c r="F707" s="71">
        <v>646</v>
      </c>
      <c r="H707" s="72">
        <v>14.68</v>
      </c>
      <c r="I707" s="71" t="s">
        <v>139</v>
      </c>
      <c r="R707" s="71">
        <v>646</v>
      </c>
      <c r="T707" s="72">
        <v>14.68</v>
      </c>
      <c r="U707" s="71" t="s">
        <v>139</v>
      </c>
    </row>
    <row r="708" spans="1:21" x14ac:dyDescent="0.55000000000000004">
      <c r="A708" s="71">
        <v>316</v>
      </c>
      <c r="C708" s="73">
        <v>17</v>
      </c>
      <c r="D708" s="73">
        <v>22.22</v>
      </c>
      <c r="F708" s="71">
        <v>646</v>
      </c>
      <c r="H708" s="72">
        <v>14.68</v>
      </c>
      <c r="I708" s="71" t="s">
        <v>139</v>
      </c>
      <c r="R708" s="71">
        <v>646</v>
      </c>
      <c r="T708" s="72">
        <v>14.68</v>
      </c>
      <c r="U708" s="71" t="s">
        <v>139</v>
      </c>
    </row>
    <row r="709" spans="1:21" x14ac:dyDescent="0.55000000000000004">
      <c r="A709" s="71">
        <v>316</v>
      </c>
      <c r="C709" s="73">
        <v>17</v>
      </c>
      <c r="D709" s="73">
        <v>19.86</v>
      </c>
      <c r="F709" s="71">
        <v>646</v>
      </c>
      <c r="H709" s="72">
        <v>14.68</v>
      </c>
      <c r="I709" s="71" t="s">
        <v>139</v>
      </c>
      <c r="R709" s="71">
        <v>646</v>
      </c>
      <c r="T709" s="72">
        <v>14.68</v>
      </c>
      <c r="U709" s="71" t="s">
        <v>139</v>
      </c>
    </row>
    <row r="710" spans="1:21" x14ac:dyDescent="0.55000000000000004">
      <c r="A710" s="71">
        <v>316</v>
      </c>
      <c r="C710" s="73">
        <v>17</v>
      </c>
      <c r="D710" s="73">
        <v>19.28</v>
      </c>
      <c r="F710" s="71">
        <v>646</v>
      </c>
      <c r="H710" s="72">
        <v>14.68</v>
      </c>
      <c r="I710" s="71" t="s">
        <v>139</v>
      </c>
      <c r="R710" s="71">
        <v>646</v>
      </c>
      <c r="T710" s="72">
        <v>14.68</v>
      </c>
      <c r="U710" s="71" t="s">
        <v>139</v>
      </c>
    </row>
    <row r="711" spans="1:21" x14ac:dyDescent="0.55000000000000004">
      <c r="A711" s="71">
        <v>316</v>
      </c>
      <c r="C711" s="73">
        <v>17</v>
      </c>
      <c r="F711" s="71">
        <v>646</v>
      </c>
      <c r="H711" s="72">
        <v>14.68</v>
      </c>
      <c r="I711" s="71" t="s">
        <v>139</v>
      </c>
      <c r="R711" s="71">
        <v>646</v>
      </c>
      <c r="T711" s="72">
        <v>14.68</v>
      </c>
      <c r="U711" s="71" t="s">
        <v>139</v>
      </c>
    </row>
    <row r="712" spans="1:21" x14ac:dyDescent="0.55000000000000004">
      <c r="A712" s="71">
        <v>145</v>
      </c>
      <c r="C712" s="73">
        <v>17</v>
      </c>
      <c r="D712" s="73">
        <v>16.5</v>
      </c>
      <c r="F712" s="71">
        <v>646</v>
      </c>
      <c r="H712" s="72">
        <v>14.68</v>
      </c>
      <c r="I712" s="71" t="s">
        <v>139</v>
      </c>
      <c r="R712" s="71">
        <v>646</v>
      </c>
      <c r="T712" s="72">
        <v>14.68</v>
      </c>
      <c r="U712" s="71" t="s">
        <v>139</v>
      </c>
    </row>
    <row r="713" spans="1:21" x14ac:dyDescent="0.55000000000000004">
      <c r="A713" s="71">
        <v>145</v>
      </c>
      <c r="C713" s="73">
        <v>17</v>
      </c>
      <c r="D713" s="73">
        <v>18.2</v>
      </c>
      <c r="F713" s="71">
        <v>646</v>
      </c>
      <c r="H713" s="72">
        <v>14.68</v>
      </c>
      <c r="I713" s="71" t="s">
        <v>139</v>
      </c>
      <c r="R713" s="71">
        <v>646</v>
      </c>
      <c r="T713" s="72">
        <v>14.68</v>
      </c>
      <c r="U713" s="71" t="s">
        <v>139</v>
      </c>
    </row>
    <row r="714" spans="1:21" x14ac:dyDescent="0.55000000000000004">
      <c r="A714" s="71">
        <v>145</v>
      </c>
      <c r="C714" s="73">
        <v>17</v>
      </c>
      <c r="D714" s="73">
        <v>16.5</v>
      </c>
      <c r="F714" s="71">
        <v>646</v>
      </c>
      <c r="H714" s="72">
        <v>14.68</v>
      </c>
      <c r="I714" s="71" t="s">
        <v>139</v>
      </c>
      <c r="R714" s="71">
        <v>646</v>
      </c>
      <c r="T714" s="72">
        <v>14.68</v>
      </c>
      <c r="U714" s="71" t="s">
        <v>139</v>
      </c>
    </row>
    <row r="715" spans="1:21" x14ac:dyDescent="0.55000000000000004">
      <c r="A715" s="71">
        <v>145</v>
      </c>
      <c r="C715" s="73">
        <v>17</v>
      </c>
      <c r="D715" s="73">
        <v>17.5</v>
      </c>
      <c r="F715" s="71">
        <v>646</v>
      </c>
      <c r="H715" s="72">
        <v>14.68</v>
      </c>
      <c r="I715" s="71" t="s">
        <v>139</v>
      </c>
      <c r="R715" s="71">
        <v>646</v>
      </c>
      <c r="T715" s="72">
        <v>14.68</v>
      </c>
      <c r="U715" s="71" t="s">
        <v>139</v>
      </c>
    </row>
    <row r="716" spans="1:21" x14ac:dyDescent="0.55000000000000004">
      <c r="A716" s="71">
        <v>145</v>
      </c>
      <c r="C716" s="73">
        <v>17</v>
      </c>
      <c r="D716" s="73">
        <v>18</v>
      </c>
      <c r="F716" s="71">
        <v>646</v>
      </c>
      <c r="H716" s="72">
        <v>14.68</v>
      </c>
      <c r="I716" s="71" t="s">
        <v>139</v>
      </c>
      <c r="R716" s="71">
        <v>646</v>
      </c>
      <c r="T716" s="72">
        <v>14.68</v>
      </c>
      <c r="U716" s="71" t="s">
        <v>139</v>
      </c>
    </row>
    <row r="717" spans="1:21" x14ac:dyDescent="0.55000000000000004">
      <c r="A717" s="71">
        <v>145</v>
      </c>
      <c r="C717" s="73">
        <v>17</v>
      </c>
      <c r="D717" s="73">
        <v>18.45</v>
      </c>
      <c r="F717" s="71">
        <v>646</v>
      </c>
      <c r="H717" s="72">
        <v>14.68</v>
      </c>
      <c r="I717" s="71" t="s">
        <v>139</v>
      </c>
      <c r="R717" s="71">
        <v>646</v>
      </c>
      <c r="T717" s="72">
        <v>14.68</v>
      </c>
      <c r="U717" s="71" t="s">
        <v>139</v>
      </c>
    </row>
    <row r="718" spans="1:21" x14ac:dyDescent="0.55000000000000004">
      <c r="A718" s="71">
        <v>234</v>
      </c>
      <c r="C718" s="73">
        <v>17</v>
      </c>
      <c r="D718" s="73">
        <v>20.76</v>
      </c>
      <c r="F718" s="71">
        <v>646</v>
      </c>
      <c r="H718" s="72">
        <v>14.68</v>
      </c>
      <c r="I718" s="71" t="s">
        <v>139</v>
      </c>
      <c r="R718" s="71">
        <v>646</v>
      </c>
      <c r="T718" s="72">
        <v>14.68</v>
      </c>
      <c r="U718" s="71" t="s">
        <v>139</v>
      </c>
    </row>
    <row r="719" spans="1:21" x14ac:dyDescent="0.55000000000000004">
      <c r="A719" s="71">
        <v>234</v>
      </c>
      <c r="C719" s="73">
        <v>17</v>
      </c>
      <c r="D719" s="73">
        <v>20.76</v>
      </c>
      <c r="F719" s="71">
        <v>646</v>
      </c>
      <c r="H719" s="72">
        <v>14.68</v>
      </c>
      <c r="I719" s="71" t="s">
        <v>139</v>
      </c>
      <c r="R719" s="71">
        <v>646</v>
      </c>
      <c r="T719" s="72">
        <v>14.68</v>
      </c>
      <c r="U719" s="71" t="s">
        <v>139</v>
      </c>
    </row>
    <row r="720" spans="1:21" x14ac:dyDescent="0.55000000000000004">
      <c r="A720" s="71">
        <v>584</v>
      </c>
      <c r="C720" s="73">
        <v>17</v>
      </c>
      <c r="D720" s="73">
        <v>20.76</v>
      </c>
      <c r="F720" s="71">
        <v>646</v>
      </c>
      <c r="H720" s="72">
        <v>14.98</v>
      </c>
      <c r="I720" s="71" t="s">
        <v>139</v>
      </c>
      <c r="R720" s="71">
        <v>646</v>
      </c>
      <c r="T720" s="72">
        <v>14.98</v>
      </c>
      <c r="U720" s="71" t="s">
        <v>139</v>
      </c>
    </row>
    <row r="721" spans="1:21" x14ac:dyDescent="0.55000000000000004">
      <c r="A721" s="71">
        <v>555</v>
      </c>
      <c r="C721" s="73">
        <v>17</v>
      </c>
      <c r="D721" s="73">
        <v>21.52</v>
      </c>
      <c r="F721" s="71">
        <v>646</v>
      </c>
      <c r="H721" s="72">
        <v>14.98</v>
      </c>
      <c r="I721" s="71" t="s">
        <v>139</v>
      </c>
      <c r="R721" s="71">
        <v>646</v>
      </c>
      <c r="T721" s="72">
        <v>14.98</v>
      </c>
      <c r="U721" s="71" t="s">
        <v>139</v>
      </c>
    </row>
    <row r="722" spans="1:21" x14ac:dyDescent="0.55000000000000004">
      <c r="A722" s="71">
        <v>555</v>
      </c>
      <c r="C722" s="73">
        <v>17</v>
      </c>
      <c r="D722" s="73">
        <v>22.46</v>
      </c>
      <c r="F722" s="71">
        <v>646</v>
      </c>
      <c r="H722" s="72">
        <v>14.98</v>
      </c>
      <c r="I722" s="71" t="s">
        <v>139</v>
      </c>
      <c r="R722" s="71">
        <v>646</v>
      </c>
      <c r="T722" s="72">
        <v>14.98</v>
      </c>
      <c r="U722" s="71" t="s">
        <v>139</v>
      </c>
    </row>
    <row r="723" spans="1:21" x14ac:dyDescent="0.55000000000000004">
      <c r="A723" s="71">
        <v>997</v>
      </c>
      <c r="C723" s="74">
        <v>17.00404</v>
      </c>
      <c r="D723" s="74">
        <v>22.46</v>
      </c>
      <c r="F723" s="71">
        <v>646</v>
      </c>
      <c r="H723" s="72">
        <v>14.98</v>
      </c>
      <c r="I723" s="71" t="s">
        <v>139</v>
      </c>
      <c r="R723" s="71">
        <v>646</v>
      </c>
      <c r="T723" s="72">
        <v>14.98</v>
      </c>
      <c r="U723" s="71" t="s">
        <v>139</v>
      </c>
    </row>
    <row r="724" spans="1:21" x14ac:dyDescent="0.55000000000000004">
      <c r="A724" s="71">
        <v>997</v>
      </c>
      <c r="C724" s="74">
        <v>17.00404</v>
      </c>
      <c r="D724" s="74">
        <v>22.46</v>
      </c>
      <c r="F724" s="71">
        <v>646</v>
      </c>
      <c r="H724" s="72">
        <v>14.98</v>
      </c>
      <c r="I724" s="71" t="s">
        <v>139</v>
      </c>
      <c r="R724" s="71">
        <v>646</v>
      </c>
      <c r="T724" s="72">
        <v>14.98</v>
      </c>
      <c r="U724" s="71" t="s">
        <v>139</v>
      </c>
    </row>
    <row r="725" spans="1:21" x14ac:dyDescent="0.55000000000000004">
      <c r="A725" s="71">
        <v>540</v>
      </c>
      <c r="C725" s="73">
        <v>17.010000000000002</v>
      </c>
      <c r="D725" s="73">
        <v>22.46</v>
      </c>
      <c r="F725" s="71">
        <v>646</v>
      </c>
      <c r="H725" s="72">
        <v>14.98</v>
      </c>
      <c r="I725" s="71" t="s">
        <v>139</v>
      </c>
      <c r="R725" s="71">
        <v>646</v>
      </c>
      <c r="T725" s="72">
        <v>14.98</v>
      </c>
      <c r="U725" s="71" t="s">
        <v>139</v>
      </c>
    </row>
    <row r="726" spans="1:21" x14ac:dyDescent="0.55000000000000004">
      <c r="A726" s="71">
        <v>690</v>
      </c>
      <c r="C726" s="73">
        <v>17.03</v>
      </c>
      <c r="F726" s="71">
        <v>646</v>
      </c>
      <c r="H726" s="72">
        <v>14.98</v>
      </c>
      <c r="I726" s="71" t="s">
        <v>139</v>
      </c>
      <c r="R726" s="71">
        <v>646</v>
      </c>
      <c r="T726" s="72">
        <v>14.98</v>
      </c>
      <c r="U726" s="71" t="s">
        <v>139</v>
      </c>
    </row>
    <row r="727" spans="1:21" x14ac:dyDescent="0.55000000000000004">
      <c r="A727" s="71">
        <v>861</v>
      </c>
      <c r="C727" s="73">
        <v>17.03</v>
      </c>
      <c r="F727" s="71">
        <v>646</v>
      </c>
      <c r="H727" s="72">
        <v>14.98</v>
      </c>
      <c r="I727" s="71" t="s">
        <v>139</v>
      </c>
      <c r="R727" s="71">
        <v>646</v>
      </c>
      <c r="T727" s="72">
        <v>14.98</v>
      </c>
      <c r="U727" s="71" t="s">
        <v>139</v>
      </c>
    </row>
    <row r="728" spans="1:21" x14ac:dyDescent="0.55000000000000004">
      <c r="A728" s="71">
        <v>575</v>
      </c>
      <c r="C728" s="73">
        <v>17.07</v>
      </c>
      <c r="F728" s="71">
        <v>646</v>
      </c>
      <c r="H728" s="72">
        <v>14.98</v>
      </c>
      <c r="I728" s="71" t="s">
        <v>139</v>
      </c>
      <c r="R728" s="71">
        <v>646</v>
      </c>
      <c r="T728" s="72">
        <v>14.98</v>
      </c>
      <c r="U728" s="71" t="s">
        <v>139</v>
      </c>
    </row>
    <row r="729" spans="1:21" x14ac:dyDescent="0.55000000000000004">
      <c r="A729" s="71">
        <v>486</v>
      </c>
      <c r="C729" s="73">
        <v>17.079999999999998</v>
      </c>
      <c r="F729" s="71">
        <v>646</v>
      </c>
      <c r="H729" s="72">
        <v>14.98</v>
      </c>
      <c r="I729" s="71" t="s">
        <v>139</v>
      </c>
      <c r="R729" s="71">
        <v>646</v>
      </c>
      <c r="T729" s="72">
        <v>14.98</v>
      </c>
      <c r="U729" s="71" t="s">
        <v>139</v>
      </c>
    </row>
    <row r="730" spans="1:21" x14ac:dyDescent="0.55000000000000004">
      <c r="A730" s="71">
        <v>728</v>
      </c>
      <c r="C730" s="74">
        <v>17.09</v>
      </c>
      <c r="D730" s="74"/>
      <c r="F730" s="71">
        <v>646</v>
      </c>
      <c r="H730" s="72">
        <v>14.98</v>
      </c>
      <c r="I730" s="71" t="s">
        <v>139</v>
      </c>
      <c r="R730" s="71">
        <v>646</v>
      </c>
      <c r="T730" s="72">
        <v>14.98</v>
      </c>
      <c r="U730" s="71" t="s">
        <v>139</v>
      </c>
    </row>
    <row r="731" spans="1:21" x14ac:dyDescent="0.55000000000000004">
      <c r="A731" s="71">
        <v>558</v>
      </c>
      <c r="C731" s="74">
        <v>17.100000000000001</v>
      </c>
      <c r="D731" s="74"/>
      <c r="F731" s="71">
        <v>646</v>
      </c>
      <c r="H731" s="72">
        <v>14.98</v>
      </c>
      <c r="I731" s="71" t="s">
        <v>139</v>
      </c>
      <c r="R731" s="71">
        <v>646</v>
      </c>
      <c r="T731" s="72">
        <v>14.98</v>
      </c>
      <c r="U731" s="71" t="s">
        <v>139</v>
      </c>
    </row>
    <row r="732" spans="1:21" x14ac:dyDescent="0.55000000000000004">
      <c r="A732" s="71">
        <v>953</v>
      </c>
      <c r="C732" s="73">
        <v>17.100000000000001</v>
      </c>
      <c r="F732" s="71">
        <v>646</v>
      </c>
      <c r="H732" s="72">
        <v>14.98</v>
      </c>
      <c r="I732" s="71" t="s">
        <v>139</v>
      </c>
      <c r="R732" s="71">
        <v>646</v>
      </c>
      <c r="T732" s="72">
        <v>14.98</v>
      </c>
      <c r="U732" s="71" t="s">
        <v>139</v>
      </c>
    </row>
    <row r="733" spans="1:21" x14ac:dyDescent="0.55000000000000004">
      <c r="A733" s="71">
        <v>452</v>
      </c>
      <c r="C733" s="73">
        <v>17.11</v>
      </c>
      <c r="F733" s="71">
        <v>646</v>
      </c>
      <c r="H733" s="72">
        <v>14.98</v>
      </c>
      <c r="I733" s="71" t="s">
        <v>139</v>
      </c>
      <c r="R733" s="71">
        <v>646</v>
      </c>
      <c r="T733" s="72">
        <v>14.98</v>
      </c>
      <c r="U733" s="71" t="s">
        <v>139</v>
      </c>
    </row>
    <row r="734" spans="1:21" x14ac:dyDescent="0.55000000000000004">
      <c r="A734" s="71">
        <v>313</v>
      </c>
      <c r="C734" s="73">
        <v>17.119199999999999</v>
      </c>
      <c r="F734" s="71">
        <v>646</v>
      </c>
      <c r="H734" s="72">
        <v>14.98</v>
      </c>
      <c r="I734" s="71" t="s">
        <v>139</v>
      </c>
      <c r="R734" s="71">
        <v>646</v>
      </c>
      <c r="T734" s="72">
        <v>14.98</v>
      </c>
      <c r="U734" s="71" t="s">
        <v>139</v>
      </c>
    </row>
    <row r="735" spans="1:21" x14ac:dyDescent="0.55000000000000004">
      <c r="A735" s="71">
        <v>313</v>
      </c>
      <c r="C735" s="73">
        <v>17.12</v>
      </c>
      <c r="F735" s="71">
        <v>646</v>
      </c>
      <c r="H735" s="72">
        <v>14.98</v>
      </c>
      <c r="I735" s="71" t="s">
        <v>139</v>
      </c>
      <c r="R735" s="71">
        <v>646</v>
      </c>
      <c r="T735" s="72">
        <v>14.98</v>
      </c>
      <c r="U735" s="71" t="s">
        <v>139</v>
      </c>
    </row>
    <row r="736" spans="1:21" x14ac:dyDescent="0.55000000000000004">
      <c r="A736" s="71">
        <v>313</v>
      </c>
      <c r="C736" s="73">
        <v>17.12</v>
      </c>
      <c r="D736" s="73">
        <v>20.81</v>
      </c>
      <c r="F736" s="71">
        <v>646</v>
      </c>
      <c r="H736" s="72">
        <v>15.27</v>
      </c>
      <c r="I736" s="71" t="s">
        <v>139</v>
      </c>
      <c r="R736" s="71">
        <v>646</v>
      </c>
      <c r="T736" s="72">
        <v>15.27</v>
      </c>
      <c r="U736" s="71" t="s">
        <v>139</v>
      </c>
    </row>
    <row r="737" spans="1:21" x14ac:dyDescent="0.55000000000000004">
      <c r="A737" s="71">
        <v>268</v>
      </c>
      <c r="C737" s="73">
        <v>17.13</v>
      </c>
      <c r="D737" s="73">
        <v>20.81</v>
      </c>
      <c r="F737" s="71">
        <v>646</v>
      </c>
      <c r="H737" s="72">
        <v>15.27</v>
      </c>
      <c r="I737" s="71" t="s">
        <v>139</v>
      </c>
      <c r="R737" s="71">
        <v>646</v>
      </c>
      <c r="T737" s="72">
        <v>15.27</v>
      </c>
      <c r="U737" s="71" t="s">
        <v>139</v>
      </c>
    </row>
    <row r="738" spans="1:21" x14ac:dyDescent="0.55000000000000004">
      <c r="A738" s="71">
        <v>142</v>
      </c>
      <c r="C738" s="73">
        <v>17.139199999999999</v>
      </c>
      <c r="F738" s="71">
        <v>646</v>
      </c>
      <c r="H738" s="72">
        <v>15.57</v>
      </c>
      <c r="I738" s="71" t="s">
        <v>139</v>
      </c>
      <c r="R738" s="71">
        <v>646</v>
      </c>
      <c r="T738" s="72">
        <v>15.57</v>
      </c>
      <c r="U738" s="71" t="s">
        <v>139</v>
      </c>
    </row>
    <row r="739" spans="1:21" x14ac:dyDescent="0.55000000000000004">
      <c r="A739" s="71">
        <v>560</v>
      </c>
      <c r="C739" s="73">
        <v>17.170000000000002</v>
      </c>
      <c r="F739" s="71">
        <v>646</v>
      </c>
      <c r="H739" s="72">
        <v>15.57</v>
      </c>
      <c r="I739" s="71" t="s">
        <v>139</v>
      </c>
      <c r="R739" s="71">
        <v>646</v>
      </c>
      <c r="T739" s="72">
        <v>15.57</v>
      </c>
      <c r="U739" s="71" t="s">
        <v>139</v>
      </c>
    </row>
    <row r="740" spans="1:21" x14ac:dyDescent="0.55000000000000004">
      <c r="A740" s="71">
        <v>560</v>
      </c>
      <c r="C740" s="73">
        <v>17.170000000000002</v>
      </c>
      <c r="D740" s="73">
        <v>21.15</v>
      </c>
      <c r="F740" s="71">
        <v>646</v>
      </c>
      <c r="H740" s="72">
        <v>15.57</v>
      </c>
      <c r="I740" s="71" t="s">
        <v>139</v>
      </c>
      <c r="R740" s="71">
        <v>646</v>
      </c>
      <c r="T740" s="72">
        <v>15.57</v>
      </c>
      <c r="U740" s="71" t="s">
        <v>139</v>
      </c>
    </row>
    <row r="741" spans="1:21" x14ac:dyDescent="0.55000000000000004">
      <c r="A741" s="71">
        <v>560</v>
      </c>
      <c r="C741" s="73">
        <v>17.170000000000002</v>
      </c>
      <c r="D741" s="73">
        <v>20.93</v>
      </c>
      <c r="F741" s="71">
        <v>646</v>
      </c>
      <c r="H741" s="72">
        <v>15.57</v>
      </c>
      <c r="I741" s="71" t="s">
        <v>139</v>
      </c>
      <c r="R741" s="71">
        <v>646</v>
      </c>
      <c r="T741" s="72">
        <v>15.57</v>
      </c>
      <c r="U741" s="71" t="s">
        <v>139</v>
      </c>
    </row>
    <row r="742" spans="1:21" x14ac:dyDescent="0.55000000000000004">
      <c r="A742" s="71">
        <v>777</v>
      </c>
      <c r="C742" s="73">
        <v>17.170000000000002</v>
      </c>
      <c r="D742" s="73">
        <v>20.32</v>
      </c>
      <c r="F742" s="71">
        <v>646</v>
      </c>
      <c r="H742" s="72">
        <v>15.57</v>
      </c>
      <c r="I742" s="71" t="s">
        <v>139</v>
      </c>
      <c r="R742" s="71">
        <v>646</v>
      </c>
      <c r="T742" s="72">
        <v>15.57</v>
      </c>
      <c r="U742" s="71" t="s">
        <v>139</v>
      </c>
    </row>
    <row r="743" spans="1:21" x14ac:dyDescent="0.55000000000000004">
      <c r="A743" s="71">
        <v>646</v>
      </c>
      <c r="C743" s="73">
        <v>17.2</v>
      </c>
      <c r="D743" s="73">
        <v>20.32</v>
      </c>
      <c r="F743" s="71">
        <v>646</v>
      </c>
      <c r="H743" s="72">
        <v>16.48</v>
      </c>
      <c r="I743" s="71" t="s">
        <v>139</v>
      </c>
      <c r="R743" s="71">
        <v>646</v>
      </c>
      <c r="T743" s="72">
        <v>16.48</v>
      </c>
      <c r="U743" s="71" t="s">
        <v>139</v>
      </c>
    </row>
    <row r="744" spans="1:21" x14ac:dyDescent="0.55000000000000004">
      <c r="A744" s="71">
        <v>646</v>
      </c>
      <c r="C744" s="73">
        <v>17.2</v>
      </c>
      <c r="D744" s="73">
        <v>19.53</v>
      </c>
      <c r="F744" s="71">
        <v>646</v>
      </c>
      <c r="H744" s="72">
        <v>16.850000000000001</v>
      </c>
      <c r="I744" s="71" t="s">
        <v>139</v>
      </c>
      <c r="R744" s="71">
        <v>646</v>
      </c>
      <c r="T744" s="72">
        <v>16.850000000000001</v>
      </c>
      <c r="U744" s="71" t="s">
        <v>139</v>
      </c>
    </row>
    <row r="745" spans="1:21" x14ac:dyDescent="0.55000000000000004">
      <c r="A745" s="71">
        <v>926</v>
      </c>
      <c r="C745" s="73">
        <v>17.22</v>
      </c>
      <c r="D745" s="73">
        <v>18.04</v>
      </c>
      <c r="F745" s="71">
        <v>646</v>
      </c>
      <c r="H745" s="72">
        <v>16.86</v>
      </c>
      <c r="I745" s="71" t="s">
        <v>139</v>
      </c>
      <c r="R745" s="71">
        <v>646</v>
      </c>
      <c r="T745" s="72">
        <v>16.86</v>
      </c>
      <c r="U745" s="71" t="s">
        <v>139</v>
      </c>
    </row>
    <row r="746" spans="1:21" x14ac:dyDescent="0.55000000000000004">
      <c r="A746" s="71">
        <v>572</v>
      </c>
      <c r="C746" s="73">
        <v>17.23</v>
      </c>
      <c r="F746" s="71">
        <v>646</v>
      </c>
      <c r="H746" s="72">
        <v>16.86</v>
      </c>
      <c r="I746" s="71" t="s">
        <v>139</v>
      </c>
      <c r="R746" s="71">
        <v>646</v>
      </c>
      <c r="T746" s="72">
        <v>16.86</v>
      </c>
      <c r="U746" s="71" t="s">
        <v>139</v>
      </c>
    </row>
    <row r="747" spans="1:21" x14ac:dyDescent="0.55000000000000004">
      <c r="A747" s="71">
        <v>959</v>
      </c>
      <c r="C747" s="73">
        <v>17.23</v>
      </c>
      <c r="F747" s="71">
        <v>646</v>
      </c>
      <c r="H747" s="72">
        <v>16.86</v>
      </c>
      <c r="I747" s="71" t="s">
        <v>139</v>
      </c>
      <c r="R747" s="71">
        <v>646</v>
      </c>
      <c r="T747" s="72">
        <v>16.86</v>
      </c>
      <c r="U747" s="71" t="s">
        <v>139</v>
      </c>
    </row>
    <row r="748" spans="1:21" x14ac:dyDescent="0.55000000000000004">
      <c r="A748" s="71">
        <v>540</v>
      </c>
      <c r="C748" s="73">
        <v>17.239999999999998</v>
      </c>
      <c r="F748" s="71">
        <v>646</v>
      </c>
      <c r="H748" s="72">
        <v>17.2</v>
      </c>
      <c r="I748" s="71" t="s">
        <v>139</v>
      </c>
      <c r="R748" s="71">
        <v>646</v>
      </c>
      <c r="T748" s="72">
        <v>17.2</v>
      </c>
      <c r="U748" s="71" t="s">
        <v>139</v>
      </c>
    </row>
    <row r="749" spans="1:21" x14ac:dyDescent="0.55000000000000004">
      <c r="A749" s="71">
        <v>500</v>
      </c>
      <c r="C749" s="75">
        <v>17.25</v>
      </c>
      <c r="D749" s="75"/>
      <c r="F749" s="71">
        <v>646</v>
      </c>
      <c r="H749" s="72">
        <v>17.2</v>
      </c>
      <c r="I749" s="71" t="s">
        <v>139</v>
      </c>
      <c r="R749" s="71">
        <v>646</v>
      </c>
      <c r="T749" s="72">
        <v>17.2</v>
      </c>
      <c r="U749" s="71" t="s">
        <v>139</v>
      </c>
    </row>
    <row r="750" spans="1:21" x14ac:dyDescent="0.55000000000000004">
      <c r="A750" s="71">
        <v>500</v>
      </c>
      <c r="C750" s="75">
        <v>17.25</v>
      </c>
      <c r="D750" s="75"/>
      <c r="F750" s="71">
        <v>646</v>
      </c>
      <c r="H750" s="72">
        <v>17.89</v>
      </c>
      <c r="I750" s="71" t="s">
        <v>139</v>
      </c>
      <c r="R750" s="71">
        <v>646</v>
      </c>
      <c r="T750" s="72">
        <v>17.89</v>
      </c>
      <c r="U750" s="71" t="s">
        <v>139</v>
      </c>
    </row>
    <row r="751" spans="1:21" x14ac:dyDescent="0.55000000000000004">
      <c r="A751" s="71">
        <v>560</v>
      </c>
      <c r="C751" s="73">
        <v>17.27</v>
      </c>
      <c r="F751" s="71">
        <v>646</v>
      </c>
      <c r="H751" s="72">
        <v>17.89</v>
      </c>
      <c r="I751" s="71" t="s">
        <v>139</v>
      </c>
      <c r="R751" s="71">
        <v>646</v>
      </c>
      <c r="T751" s="72">
        <v>17.89</v>
      </c>
      <c r="U751" s="71" t="s">
        <v>139</v>
      </c>
    </row>
    <row r="752" spans="1:21" x14ac:dyDescent="0.55000000000000004">
      <c r="A752" s="71">
        <v>555</v>
      </c>
      <c r="C752" s="73">
        <v>17.28</v>
      </c>
      <c r="F752" s="71">
        <v>646</v>
      </c>
      <c r="H752" s="72">
        <v>17.89</v>
      </c>
      <c r="I752" s="71" t="s">
        <v>139</v>
      </c>
      <c r="R752" s="71">
        <v>646</v>
      </c>
      <c r="T752" s="72">
        <v>17.89</v>
      </c>
      <c r="U752" s="71" t="s">
        <v>139</v>
      </c>
    </row>
    <row r="753" spans="1:21" x14ac:dyDescent="0.55000000000000004">
      <c r="A753" s="71">
        <v>385</v>
      </c>
      <c r="C753" s="74">
        <v>17.28</v>
      </c>
      <c r="D753" s="74"/>
      <c r="F753" s="71">
        <v>646</v>
      </c>
      <c r="H753" s="72">
        <v>18.07</v>
      </c>
      <c r="I753" s="71" t="s">
        <v>139</v>
      </c>
      <c r="R753" s="71">
        <v>646</v>
      </c>
      <c r="T753" s="72">
        <v>18.07</v>
      </c>
      <c r="U753" s="71" t="s">
        <v>139</v>
      </c>
    </row>
    <row r="754" spans="1:21" x14ac:dyDescent="0.55000000000000004">
      <c r="A754" s="71">
        <v>178</v>
      </c>
      <c r="C754" s="73">
        <v>17.29</v>
      </c>
      <c r="F754" s="71">
        <v>646</v>
      </c>
      <c r="H754" s="72">
        <v>18.07</v>
      </c>
      <c r="I754" s="71" t="s">
        <v>139</v>
      </c>
      <c r="R754" s="71">
        <v>646</v>
      </c>
      <c r="T754" s="72">
        <v>18.07</v>
      </c>
      <c r="U754" s="71" t="s">
        <v>139</v>
      </c>
    </row>
    <row r="755" spans="1:21" x14ac:dyDescent="0.55000000000000004">
      <c r="A755" s="71">
        <v>962</v>
      </c>
      <c r="C755" s="73">
        <v>17.29</v>
      </c>
      <c r="F755" s="71">
        <v>646</v>
      </c>
      <c r="H755" s="72">
        <v>18.25</v>
      </c>
      <c r="I755" s="71" t="s">
        <v>139</v>
      </c>
      <c r="R755" s="71">
        <v>646</v>
      </c>
      <c r="T755" s="72">
        <v>18.25</v>
      </c>
      <c r="U755" s="71" t="s">
        <v>139</v>
      </c>
    </row>
    <row r="756" spans="1:21" x14ac:dyDescent="0.55000000000000004">
      <c r="A756" s="71">
        <v>268</v>
      </c>
      <c r="C756" s="73">
        <v>17.3</v>
      </c>
      <c r="F756" s="71">
        <v>646</v>
      </c>
      <c r="H756" s="72">
        <v>18.62</v>
      </c>
      <c r="I756" s="71" t="s">
        <v>139</v>
      </c>
      <c r="R756" s="71">
        <v>646</v>
      </c>
      <c r="T756" s="72">
        <v>18.62</v>
      </c>
      <c r="U756" s="71" t="s">
        <v>139</v>
      </c>
    </row>
    <row r="757" spans="1:21" x14ac:dyDescent="0.55000000000000004">
      <c r="A757" s="71">
        <v>173</v>
      </c>
      <c r="C757" s="73">
        <v>17.3</v>
      </c>
      <c r="F757" s="71">
        <v>646</v>
      </c>
      <c r="H757" s="72">
        <v>18.62</v>
      </c>
      <c r="I757" s="71" t="s">
        <v>139</v>
      </c>
      <c r="R757" s="71">
        <v>646</v>
      </c>
      <c r="T757" s="72">
        <v>18.62</v>
      </c>
      <c r="U757" s="71" t="s">
        <v>139</v>
      </c>
    </row>
    <row r="758" spans="1:21" x14ac:dyDescent="0.55000000000000004">
      <c r="A758" s="71">
        <v>953</v>
      </c>
      <c r="C758" s="73">
        <v>17.309999999999999</v>
      </c>
      <c r="F758" s="71">
        <v>646</v>
      </c>
      <c r="H758" s="72">
        <v>18.62</v>
      </c>
      <c r="I758" s="71" t="s">
        <v>139</v>
      </c>
      <c r="R758" s="71">
        <v>646</v>
      </c>
      <c r="T758" s="72">
        <v>18.62</v>
      </c>
      <c r="U758" s="71" t="s">
        <v>139</v>
      </c>
    </row>
    <row r="759" spans="1:21" x14ac:dyDescent="0.55000000000000004">
      <c r="A759" s="71">
        <v>555</v>
      </c>
      <c r="C759" s="73">
        <v>17.34</v>
      </c>
      <c r="F759" s="71">
        <v>658</v>
      </c>
      <c r="H759" s="72">
        <v>12.55</v>
      </c>
      <c r="I759" s="71" t="s">
        <v>139</v>
      </c>
      <c r="R759" s="71">
        <v>658</v>
      </c>
      <c r="T759" s="72">
        <v>12.55</v>
      </c>
      <c r="U759" s="71" t="s">
        <v>139</v>
      </c>
    </row>
    <row r="760" spans="1:21" x14ac:dyDescent="0.55000000000000004">
      <c r="A760" s="71">
        <v>642</v>
      </c>
      <c r="C760" s="74">
        <v>17.34</v>
      </c>
      <c r="D760" s="74"/>
      <c r="F760" s="71">
        <v>658</v>
      </c>
      <c r="H760" s="72">
        <v>12.8</v>
      </c>
      <c r="I760" s="71" t="s">
        <v>139</v>
      </c>
      <c r="R760" s="71">
        <v>658</v>
      </c>
      <c r="T760" s="72">
        <v>12.8</v>
      </c>
      <c r="U760" s="71" t="s">
        <v>139</v>
      </c>
    </row>
    <row r="761" spans="1:21" x14ac:dyDescent="0.55000000000000004">
      <c r="A761" s="71">
        <v>642</v>
      </c>
      <c r="C761" s="74">
        <v>17.34</v>
      </c>
      <c r="D761" s="74"/>
      <c r="F761" s="71">
        <v>658</v>
      </c>
      <c r="H761" s="72">
        <v>12.8</v>
      </c>
      <c r="I761" s="71" t="s">
        <v>139</v>
      </c>
      <c r="R761" s="71">
        <v>658</v>
      </c>
      <c r="T761" s="72">
        <v>12.8</v>
      </c>
      <c r="U761" s="71" t="s">
        <v>139</v>
      </c>
    </row>
    <row r="762" spans="1:21" x14ac:dyDescent="0.55000000000000004">
      <c r="A762" s="71">
        <v>883</v>
      </c>
      <c r="C762" s="73">
        <v>17.350000000000001</v>
      </c>
      <c r="F762" s="71">
        <v>658</v>
      </c>
      <c r="H762" s="72">
        <v>12.8</v>
      </c>
      <c r="I762" s="71" t="s">
        <v>139</v>
      </c>
      <c r="R762" s="71">
        <v>658</v>
      </c>
      <c r="T762" s="72">
        <v>12.8</v>
      </c>
      <c r="U762" s="71" t="s">
        <v>139</v>
      </c>
    </row>
    <row r="763" spans="1:21" x14ac:dyDescent="0.55000000000000004">
      <c r="A763" s="71">
        <v>550</v>
      </c>
      <c r="C763" s="73">
        <v>17.36</v>
      </c>
      <c r="F763" s="71">
        <v>658</v>
      </c>
      <c r="H763" s="72">
        <v>12.8</v>
      </c>
      <c r="I763" s="71" t="s">
        <v>139</v>
      </c>
      <c r="R763" s="71">
        <v>658</v>
      </c>
      <c r="T763" s="72">
        <v>12.8</v>
      </c>
      <c r="U763" s="71" t="s">
        <v>139</v>
      </c>
    </row>
    <row r="764" spans="1:21" x14ac:dyDescent="0.55000000000000004">
      <c r="A764" s="71">
        <v>550</v>
      </c>
      <c r="C764" s="73">
        <v>17.36</v>
      </c>
      <c r="F764" s="71">
        <v>658</v>
      </c>
      <c r="H764" s="72">
        <v>12.85</v>
      </c>
      <c r="I764" s="71" t="s">
        <v>139</v>
      </c>
      <c r="R764" s="71">
        <v>658</v>
      </c>
      <c r="T764" s="72">
        <v>12.85</v>
      </c>
      <c r="U764" s="71" t="s">
        <v>139</v>
      </c>
    </row>
    <row r="765" spans="1:21" x14ac:dyDescent="0.55000000000000004">
      <c r="A765" s="71">
        <v>550</v>
      </c>
      <c r="C765" s="73">
        <v>17.36</v>
      </c>
      <c r="F765" s="71">
        <v>658</v>
      </c>
      <c r="H765" s="72">
        <v>13.53</v>
      </c>
      <c r="I765" s="71" t="s">
        <v>139</v>
      </c>
      <c r="R765" s="71">
        <v>658</v>
      </c>
      <c r="T765" s="72">
        <v>13.53</v>
      </c>
      <c r="U765" s="71" t="s">
        <v>139</v>
      </c>
    </row>
    <row r="766" spans="1:21" x14ac:dyDescent="0.55000000000000004">
      <c r="A766" s="71">
        <v>550</v>
      </c>
      <c r="C766" s="73">
        <v>17.36</v>
      </c>
      <c r="F766" s="71">
        <v>658</v>
      </c>
      <c r="H766" s="72">
        <v>14.09</v>
      </c>
      <c r="I766" s="71" t="s">
        <v>139</v>
      </c>
      <c r="R766" s="71">
        <v>658</v>
      </c>
      <c r="T766" s="72">
        <v>14.09</v>
      </c>
      <c r="U766" s="71" t="s">
        <v>139</v>
      </c>
    </row>
    <row r="767" spans="1:21" x14ac:dyDescent="0.55000000000000004">
      <c r="A767" s="71">
        <v>550</v>
      </c>
      <c r="C767" s="73">
        <v>17.36</v>
      </c>
      <c r="F767" s="71">
        <v>658</v>
      </c>
      <c r="H767" s="72">
        <v>14.4</v>
      </c>
      <c r="I767" s="71" t="s">
        <v>139</v>
      </c>
      <c r="R767" s="71">
        <v>658</v>
      </c>
      <c r="T767" s="72">
        <v>14.4</v>
      </c>
      <c r="U767" s="71" t="s">
        <v>139</v>
      </c>
    </row>
    <row r="768" spans="1:21" x14ac:dyDescent="0.55000000000000004">
      <c r="A768" s="71">
        <v>550</v>
      </c>
      <c r="C768" s="73">
        <v>17.36</v>
      </c>
      <c r="F768" s="71">
        <v>658</v>
      </c>
      <c r="H768" s="72">
        <v>14.5</v>
      </c>
      <c r="I768" s="71" t="s">
        <v>139</v>
      </c>
      <c r="R768" s="71">
        <v>658</v>
      </c>
      <c r="T768" s="72">
        <v>14.5</v>
      </c>
      <c r="U768" s="71" t="s">
        <v>139</v>
      </c>
    </row>
    <row r="769" spans="1:21" x14ac:dyDescent="0.55000000000000004">
      <c r="A769" s="71">
        <v>380</v>
      </c>
      <c r="C769" s="73">
        <v>17.37</v>
      </c>
      <c r="F769" s="71">
        <v>658</v>
      </c>
      <c r="H769" s="72">
        <v>15</v>
      </c>
      <c r="I769" s="71" t="s">
        <v>139</v>
      </c>
      <c r="R769" s="71">
        <v>658</v>
      </c>
      <c r="T769" s="72">
        <v>15</v>
      </c>
      <c r="U769" s="71" t="s">
        <v>139</v>
      </c>
    </row>
    <row r="770" spans="1:21" x14ac:dyDescent="0.55000000000000004">
      <c r="A770" s="71">
        <v>642</v>
      </c>
      <c r="C770" s="73">
        <v>17.37</v>
      </c>
      <c r="F770" s="71">
        <v>658</v>
      </c>
      <c r="H770" s="72">
        <v>15</v>
      </c>
      <c r="I770" s="71" t="s">
        <v>139</v>
      </c>
      <c r="R770" s="71">
        <v>658</v>
      </c>
      <c r="T770" s="72">
        <v>15</v>
      </c>
      <c r="U770" s="71" t="s">
        <v>139</v>
      </c>
    </row>
    <row r="771" spans="1:21" x14ac:dyDescent="0.55000000000000004">
      <c r="A771" s="71">
        <v>178</v>
      </c>
      <c r="C771" s="73">
        <v>17.41</v>
      </c>
      <c r="F771" s="71">
        <v>658</v>
      </c>
      <c r="H771" s="72">
        <v>15</v>
      </c>
      <c r="I771" s="71" t="s">
        <v>139</v>
      </c>
      <c r="R771" s="71">
        <v>658</v>
      </c>
      <c r="T771" s="72">
        <v>15</v>
      </c>
      <c r="U771" s="71" t="s">
        <v>139</v>
      </c>
    </row>
    <row r="772" spans="1:21" x14ac:dyDescent="0.55000000000000004">
      <c r="A772" s="71">
        <v>712</v>
      </c>
      <c r="C772" s="73">
        <v>17.41</v>
      </c>
      <c r="F772" s="71">
        <v>658</v>
      </c>
      <c r="H772" s="72">
        <v>15</v>
      </c>
      <c r="I772" s="71" t="s">
        <v>139</v>
      </c>
      <c r="R772" s="71">
        <v>658</v>
      </c>
      <c r="T772" s="72">
        <v>15</v>
      </c>
      <c r="U772" s="71" t="s">
        <v>139</v>
      </c>
    </row>
    <row r="773" spans="1:21" x14ac:dyDescent="0.55000000000000004">
      <c r="A773" s="71">
        <v>560</v>
      </c>
      <c r="C773" s="73">
        <v>17.43</v>
      </c>
      <c r="F773" s="71">
        <v>658</v>
      </c>
      <c r="H773" s="72">
        <v>15</v>
      </c>
      <c r="I773" s="71" t="s">
        <v>139</v>
      </c>
      <c r="R773" s="71">
        <v>658</v>
      </c>
      <c r="T773" s="72">
        <v>15</v>
      </c>
      <c r="U773" s="71" t="s">
        <v>139</v>
      </c>
    </row>
    <row r="774" spans="1:21" x14ac:dyDescent="0.55000000000000004">
      <c r="A774" s="71">
        <v>756</v>
      </c>
      <c r="C774" s="75">
        <v>17.43</v>
      </c>
      <c r="D774" s="75"/>
      <c r="F774" s="71">
        <v>658</v>
      </c>
      <c r="H774" s="72">
        <v>19</v>
      </c>
      <c r="I774" s="71" t="s">
        <v>139</v>
      </c>
      <c r="R774" s="71">
        <v>658</v>
      </c>
      <c r="T774" s="72">
        <v>19</v>
      </c>
      <c r="U774" s="71" t="s">
        <v>139</v>
      </c>
    </row>
    <row r="775" spans="1:21" x14ac:dyDescent="0.55000000000000004">
      <c r="A775" s="71">
        <v>143</v>
      </c>
      <c r="C775" s="73">
        <v>17.43</v>
      </c>
      <c r="F775" s="71">
        <v>690</v>
      </c>
      <c r="H775" s="72">
        <v>16.100000000000001</v>
      </c>
      <c r="I775" s="71" t="s">
        <v>139</v>
      </c>
      <c r="R775" s="71">
        <v>690</v>
      </c>
      <c r="T775" s="72">
        <v>16.100000000000001</v>
      </c>
      <c r="U775" s="71" t="s">
        <v>139</v>
      </c>
    </row>
    <row r="776" spans="1:21" x14ac:dyDescent="0.55000000000000004">
      <c r="A776" s="71">
        <v>313</v>
      </c>
      <c r="C776" s="73">
        <v>17.45</v>
      </c>
      <c r="F776" s="71">
        <v>690</v>
      </c>
      <c r="H776" s="72">
        <v>17.03</v>
      </c>
      <c r="I776" s="71" t="s">
        <v>139</v>
      </c>
      <c r="R776" s="71">
        <v>690</v>
      </c>
      <c r="T776" s="72">
        <v>17.03</v>
      </c>
      <c r="U776" s="71" t="s">
        <v>139</v>
      </c>
    </row>
    <row r="777" spans="1:21" x14ac:dyDescent="0.55000000000000004">
      <c r="A777" s="71">
        <v>268</v>
      </c>
      <c r="C777" s="73">
        <v>17.47</v>
      </c>
      <c r="F777" s="71">
        <v>690</v>
      </c>
      <c r="H777" s="72">
        <v>18.25</v>
      </c>
      <c r="I777" s="71" t="s">
        <v>139</v>
      </c>
      <c r="R777" s="71">
        <v>690</v>
      </c>
      <c r="T777" s="72">
        <v>18.25</v>
      </c>
      <c r="U777" s="71" t="s">
        <v>139</v>
      </c>
    </row>
    <row r="778" spans="1:21" x14ac:dyDescent="0.55000000000000004">
      <c r="A778" s="71">
        <v>268</v>
      </c>
      <c r="C778" s="73">
        <v>17.47</v>
      </c>
      <c r="F778" s="71">
        <v>690</v>
      </c>
      <c r="H778" s="72">
        <v>18.5</v>
      </c>
      <c r="I778" s="71" t="s">
        <v>139</v>
      </c>
      <c r="R778" s="71">
        <v>690</v>
      </c>
      <c r="T778" s="72">
        <v>18.5</v>
      </c>
      <c r="U778" s="71" t="s">
        <v>139</v>
      </c>
    </row>
    <row r="779" spans="1:21" x14ac:dyDescent="0.55000000000000004">
      <c r="A779" s="71">
        <v>718</v>
      </c>
      <c r="C779" s="75">
        <v>17.48</v>
      </c>
      <c r="D779" s="75"/>
      <c r="F779" s="71">
        <v>690</v>
      </c>
      <c r="H779" s="72">
        <v>18.5</v>
      </c>
      <c r="I779" s="71" t="s">
        <v>139</v>
      </c>
      <c r="R779" s="71">
        <v>690</v>
      </c>
      <c r="T779" s="72">
        <v>18.5</v>
      </c>
      <c r="U779" s="71" t="s">
        <v>139</v>
      </c>
    </row>
    <row r="780" spans="1:21" x14ac:dyDescent="0.55000000000000004">
      <c r="A780" s="71">
        <v>967</v>
      </c>
      <c r="C780" s="73">
        <v>17.5</v>
      </c>
      <c r="F780" s="71">
        <v>690</v>
      </c>
      <c r="H780" s="72">
        <v>18.75</v>
      </c>
      <c r="I780" s="71" t="s">
        <v>139</v>
      </c>
      <c r="R780" s="71">
        <v>690</v>
      </c>
      <c r="T780" s="72">
        <v>18.75</v>
      </c>
      <c r="U780" s="71" t="s">
        <v>139</v>
      </c>
    </row>
    <row r="781" spans="1:21" x14ac:dyDescent="0.55000000000000004">
      <c r="A781" s="71">
        <v>234</v>
      </c>
      <c r="C781" s="73">
        <v>17.5</v>
      </c>
      <c r="F781" s="71">
        <v>701</v>
      </c>
      <c r="H781" s="72">
        <v>15.35</v>
      </c>
      <c r="I781" s="71" t="s">
        <v>139</v>
      </c>
      <c r="R781" s="71">
        <v>701</v>
      </c>
      <c r="T781" s="72">
        <v>15.35</v>
      </c>
      <c r="U781" s="71" t="s">
        <v>139</v>
      </c>
    </row>
    <row r="782" spans="1:21" x14ac:dyDescent="0.55000000000000004">
      <c r="A782" s="71">
        <v>560</v>
      </c>
      <c r="C782" s="73">
        <v>17.5</v>
      </c>
      <c r="F782" s="71">
        <v>712</v>
      </c>
      <c r="H782" s="72">
        <v>16.059999999999999</v>
      </c>
      <c r="I782" s="71" t="s">
        <v>139</v>
      </c>
      <c r="R782" s="71">
        <v>712</v>
      </c>
      <c r="T782" s="72">
        <v>16.059999999999999</v>
      </c>
      <c r="U782" s="71" t="s">
        <v>139</v>
      </c>
    </row>
    <row r="783" spans="1:21" x14ac:dyDescent="0.55000000000000004">
      <c r="A783" s="71">
        <v>560</v>
      </c>
      <c r="C783" s="73">
        <v>17.5</v>
      </c>
      <c r="F783" s="71">
        <v>712</v>
      </c>
      <c r="H783" s="72">
        <v>16.059999999999999</v>
      </c>
      <c r="I783" s="71" t="s">
        <v>139</v>
      </c>
      <c r="R783" s="71">
        <v>712</v>
      </c>
      <c r="T783" s="72">
        <v>16.059999999999999</v>
      </c>
      <c r="U783" s="71" t="s">
        <v>139</v>
      </c>
    </row>
    <row r="784" spans="1:21" x14ac:dyDescent="0.55000000000000004">
      <c r="A784" s="71">
        <v>560</v>
      </c>
      <c r="C784" s="73">
        <v>17.5</v>
      </c>
      <c r="F784" s="71">
        <v>712</v>
      </c>
      <c r="H784" s="72">
        <v>16.059999999999999</v>
      </c>
      <c r="I784" s="71" t="s">
        <v>139</v>
      </c>
      <c r="R784" s="71">
        <v>712</v>
      </c>
      <c r="T784" s="72">
        <v>16.059999999999999</v>
      </c>
      <c r="U784" s="71" t="s">
        <v>139</v>
      </c>
    </row>
    <row r="785" spans="1:21" x14ac:dyDescent="0.55000000000000004">
      <c r="A785" s="71">
        <v>584</v>
      </c>
      <c r="C785" s="73">
        <v>17.5</v>
      </c>
      <c r="F785" s="71">
        <v>712</v>
      </c>
      <c r="H785" s="72">
        <v>16.399999999999999</v>
      </c>
      <c r="I785" s="71" t="s">
        <v>139</v>
      </c>
      <c r="R785" s="71">
        <v>712</v>
      </c>
      <c r="T785" s="72">
        <v>16.399999999999999</v>
      </c>
      <c r="U785" s="71" t="s">
        <v>139</v>
      </c>
    </row>
    <row r="786" spans="1:21" x14ac:dyDescent="0.55000000000000004">
      <c r="A786" s="71">
        <v>563</v>
      </c>
      <c r="C786" s="73">
        <v>17.5</v>
      </c>
      <c r="F786" s="71">
        <v>712</v>
      </c>
      <c r="H786" s="72">
        <v>16.399999999999999</v>
      </c>
      <c r="I786" s="71" t="s">
        <v>139</v>
      </c>
      <c r="R786" s="71">
        <v>712</v>
      </c>
      <c r="T786" s="72">
        <v>16.399999999999999</v>
      </c>
      <c r="U786" s="71" t="s">
        <v>139</v>
      </c>
    </row>
    <row r="787" spans="1:21" x14ac:dyDescent="0.55000000000000004">
      <c r="A787" s="71">
        <v>351</v>
      </c>
      <c r="C787" s="73">
        <v>17.54</v>
      </c>
      <c r="F787" s="71">
        <v>712</v>
      </c>
      <c r="H787" s="72">
        <v>16.75</v>
      </c>
      <c r="I787" s="71" t="s">
        <v>139</v>
      </c>
      <c r="R787" s="71">
        <v>712</v>
      </c>
      <c r="T787" s="72">
        <v>16.75</v>
      </c>
      <c r="U787" s="71" t="s">
        <v>139</v>
      </c>
    </row>
    <row r="788" spans="1:21" x14ac:dyDescent="0.55000000000000004">
      <c r="A788" s="71">
        <v>535</v>
      </c>
      <c r="C788" s="73">
        <v>17.54</v>
      </c>
      <c r="D788" s="73">
        <v>16</v>
      </c>
      <c r="F788" s="71">
        <v>712</v>
      </c>
      <c r="H788" s="72">
        <v>16.75</v>
      </c>
      <c r="I788" s="71" t="s">
        <v>139</v>
      </c>
      <c r="R788" s="71">
        <v>712</v>
      </c>
      <c r="T788" s="72">
        <v>16.75</v>
      </c>
      <c r="U788" s="71" t="s">
        <v>139</v>
      </c>
    </row>
    <row r="789" spans="1:21" x14ac:dyDescent="0.55000000000000004">
      <c r="A789" s="71">
        <v>535</v>
      </c>
      <c r="C789" s="73">
        <v>17.54</v>
      </c>
      <c r="D789" s="73">
        <v>16</v>
      </c>
      <c r="F789" s="71">
        <v>712</v>
      </c>
      <c r="H789" s="72">
        <v>16.75</v>
      </c>
      <c r="I789" s="71" t="s">
        <v>139</v>
      </c>
      <c r="R789" s="71">
        <v>712</v>
      </c>
      <c r="T789" s="72">
        <v>16.75</v>
      </c>
      <c r="U789" s="71" t="s">
        <v>139</v>
      </c>
    </row>
    <row r="790" spans="1:21" x14ac:dyDescent="0.55000000000000004">
      <c r="A790" s="71">
        <v>953</v>
      </c>
      <c r="C790" s="73">
        <v>17.55</v>
      </c>
      <c r="D790" s="73">
        <v>16</v>
      </c>
      <c r="F790" s="71">
        <v>712</v>
      </c>
      <c r="H790" s="72">
        <v>16.75</v>
      </c>
      <c r="I790" s="71" t="s">
        <v>139</v>
      </c>
      <c r="R790" s="71">
        <v>712</v>
      </c>
      <c r="T790" s="72">
        <v>16.75</v>
      </c>
      <c r="U790" s="71" t="s">
        <v>139</v>
      </c>
    </row>
    <row r="791" spans="1:21" x14ac:dyDescent="0.55000000000000004">
      <c r="A791" s="71">
        <v>528</v>
      </c>
      <c r="C791" s="73">
        <v>17.59</v>
      </c>
      <c r="D791" s="73">
        <v>16.75</v>
      </c>
      <c r="F791" s="71">
        <v>712</v>
      </c>
      <c r="H791" s="72">
        <v>16.75</v>
      </c>
      <c r="I791" s="71" t="s">
        <v>139</v>
      </c>
      <c r="R791" s="71">
        <v>712</v>
      </c>
      <c r="T791" s="72">
        <v>16.75</v>
      </c>
      <c r="U791" s="71" t="s">
        <v>139</v>
      </c>
    </row>
    <row r="792" spans="1:21" x14ac:dyDescent="0.55000000000000004">
      <c r="A792" s="71">
        <v>575</v>
      </c>
      <c r="C792" s="73">
        <v>17.600000000000001</v>
      </c>
      <c r="D792" s="73">
        <v>15</v>
      </c>
      <c r="F792" s="71">
        <v>712</v>
      </c>
      <c r="H792" s="72">
        <v>17.41</v>
      </c>
      <c r="I792" s="71" t="s">
        <v>139</v>
      </c>
      <c r="R792" s="71">
        <v>712</v>
      </c>
      <c r="T792" s="72">
        <v>17.41</v>
      </c>
      <c r="U792" s="71" t="s">
        <v>139</v>
      </c>
    </row>
    <row r="793" spans="1:21" x14ac:dyDescent="0.55000000000000004">
      <c r="A793" s="71">
        <v>962</v>
      </c>
      <c r="C793" s="73">
        <v>17.600000000000001</v>
      </c>
      <c r="F793" s="71">
        <v>712</v>
      </c>
      <c r="H793" s="72">
        <v>18.149999999999999</v>
      </c>
      <c r="I793" s="71" t="s">
        <v>139</v>
      </c>
      <c r="R793" s="71">
        <v>712</v>
      </c>
      <c r="T793" s="72">
        <v>18.149999999999999</v>
      </c>
      <c r="U793" s="71" t="s">
        <v>139</v>
      </c>
    </row>
    <row r="794" spans="1:21" x14ac:dyDescent="0.55000000000000004">
      <c r="A794" s="71">
        <v>962</v>
      </c>
      <c r="C794" s="73">
        <v>17.600000000000001</v>
      </c>
      <c r="D794" s="73">
        <v>16.399999999999999</v>
      </c>
      <c r="F794" s="71">
        <v>712</v>
      </c>
      <c r="H794" s="72">
        <v>18.149999999999999</v>
      </c>
      <c r="I794" s="71" t="s">
        <v>139</v>
      </c>
      <c r="R794" s="71">
        <v>712</v>
      </c>
      <c r="T794" s="72">
        <v>18.149999999999999</v>
      </c>
      <c r="U794" s="71" t="s">
        <v>139</v>
      </c>
    </row>
    <row r="795" spans="1:21" x14ac:dyDescent="0.55000000000000004">
      <c r="A795" s="71">
        <v>962</v>
      </c>
      <c r="C795" s="73">
        <v>17.600000000000001</v>
      </c>
      <c r="D795" s="73">
        <v>18.71</v>
      </c>
      <c r="F795" s="71">
        <v>712</v>
      </c>
      <c r="H795" s="72">
        <v>18.149999999999999</v>
      </c>
      <c r="I795" s="71" t="s">
        <v>139</v>
      </c>
      <c r="R795" s="71">
        <v>712</v>
      </c>
      <c r="T795" s="72">
        <v>18.149999999999999</v>
      </c>
      <c r="U795" s="71" t="s">
        <v>139</v>
      </c>
    </row>
    <row r="796" spans="1:21" x14ac:dyDescent="0.55000000000000004">
      <c r="A796" s="71">
        <v>962</v>
      </c>
      <c r="C796" s="73">
        <v>17.600000000000001</v>
      </c>
      <c r="D796" s="73">
        <v>20.23</v>
      </c>
      <c r="F796" s="71">
        <v>712</v>
      </c>
      <c r="H796" s="72">
        <v>21.36</v>
      </c>
      <c r="I796" s="71" t="s">
        <v>139</v>
      </c>
      <c r="R796" s="71">
        <v>712</v>
      </c>
      <c r="T796" s="72">
        <v>21.36</v>
      </c>
      <c r="U796" s="71" t="s">
        <v>139</v>
      </c>
    </row>
    <row r="797" spans="1:21" x14ac:dyDescent="0.55000000000000004">
      <c r="A797" s="71">
        <v>606</v>
      </c>
      <c r="C797" s="73">
        <v>17.649999999999999</v>
      </c>
      <c r="D797" s="73">
        <v>20.23</v>
      </c>
      <c r="F797" s="71">
        <v>712</v>
      </c>
      <c r="H797" s="72">
        <v>21.36</v>
      </c>
      <c r="I797" s="71" t="s">
        <v>139</v>
      </c>
      <c r="R797" s="71">
        <v>712</v>
      </c>
      <c r="T797" s="72">
        <v>21.36</v>
      </c>
      <c r="U797" s="71" t="s">
        <v>139</v>
      </c>
    </row>
    <row r="798" spans="1:21" x14ac:dyDescent="0.55000000000000004">
      <c r="A798" s="71">
        <v>606</v>
      </c>
      <c r="C798" s="73">
        <v>17.649999999999999</v>
      </c>
      <c r="F798" s="71">
        <v>712</v>
      </c>
      <c r="H798" s="72">
        <v>21.41</v>
      </c>
      <c r="I798" s="71" t="s">
        <v>139</v>
      </c>
      <c r="R798" s="71">
        <v>712</v>
      </c>
      <c r="T798" s="72">
        <v>21.41</v>
      </c>
      <c r="U798" s="71" t="s">
        <v>139</v>
      </c>
    </row>
    <row r="799" spans="1:21" x14ac:dyDescent="0.55000000000000004">
      <c r="A799" s="71">
        <v>572</v>
      </c>
      <c r="C799" s="73">
        <v>17.66</v>
      </c>
      <c r="F799" s="71">
        <v>712</v>
      </c>
      <c r="H799" s="72">
        <v>22.14</v>
      </c>
      <c r="I799" s="71" t="s">
        <v>139</v>
      </c>
      <c r="R799" s="71">
        <v>712</v>
      </c>
      <c r="T799" s="72">
        <v>22.14</v>
      </c>
      <c r="U799" s="71" t="s">
        <v>139</v>
      </c>
    </row>
    <row r="800" spans="1:21" x14ac:dyDescent="0.55000000000000004">
      <c r="A800" s="71">
        <v>604</v>
      </c>
      <c r="C800" s="73">
        <v>17.66</v>
      </c>
      <c r="F800" s="71">
        <v>718</v>
      </c>
      <c r="H800" s="72">
        <v>16</v>
      </c>
      <c r="I800" s="71" t="s">
        <v>139</v>
      </c>
      <c r="R800" s="71">
        <v>718</v>
      </c>
      <c r="T800" s="72">
        <v>16</v>
      </c>
      <c r="U800" s="71" t="s">
        <v>139</v>
      </c>
    </row>
    <row r="801" spans="1:21" x14ac:dyDescent="0.55000000000000004">
      <c r="A801" s="71">
        <v>315</v>
      </c>
      <c r="C801" s="73">
        <v>17.68</v>
      </c>
      <c r="F801" s="71">
        <v>718</v>
      </c>
      <c r="H801" s="72">
        <v>16.16</v>
      </c>
      <c r="I801" s="71" t="s">
        <v>139</v>
      </c>
      <c r="R801" s="71">
        <v>718</v>
      </c>
      <c r="T801" s="72">
        <v>16.16</v>
      </c>
      <c r="U801" s="71" t="s">
        <v>139</v>
      </c>
    </row>
    <row r="802" spans="1:21" x14ac:dyDescent="0.55000000000000004">
      <c r="A802" s="71">
        <v>315</v>
      </c>
      <c r="C802" s="73">
        <v>17.68</v>
      </c>
      <c r="D802" s="73">
        <v>17.5</v>
      </c>
      <c r="F802" s="71">
        <v>718</v>
      </c>
      <c r="H802" s="72">
        <v>16.32</v>
      </c>
      <c r="I802" s="71" t="s">
        <v>139</v>
      </c>
      <c r="R802" s="71">
        <v>718</v>
      </c>
      <c r="T802" s="72">
        <v>16.32</v>
      </c>
      <c r="U802" s="71" t="s">
        <v>139</v>
      </c>
    </row>
    <row r="803" spans="1:21" x14ac:dyDescent="0.55000000000000004">
      <c r="A803" s="71">
        <v>861</v>
      </c>
      <c r="C803" s="73">
        <v>17.690000000000001</v>
      </c>
      <c r="D803" s="73">
        <v>17.5</v>
      </c>
      <c r="F803" s="71">
        <v>718</v>
      </c>
      <c r="H803" s="72">
        <v>16.32</v>
      </c>
      <c r="I803" s="71" t="s">
        <v>139</v>
      </c>
      <c r="R803" s="71">
        <v>718</v>
      </c>
      <c r="T803" s="72">
        <v>16.32</v>
      </c>
      <c r="U803" s="71" t="s">
        <v>139</v>
      </c>
    </row>
    <row r="804" spans="1:21" x14ac:dyDescent="0.55000000000000004">
      <c r="A804" s="71">
        <v>861</v>
      </c>
      <c r="C804" s="73">
        <v>17.690000000000001</v>
      </c>
      <c r="D804" s="73">
        <v>18.420000000000002</v>
      </c>
      <c r="F804" s="71">
        <v>718</v>
      </c>
      <c r="H804" s="72">
        <v>16.440000000000001</v>
      </c>
      <c r="I804" s="71" t="s">
        <v>139</v>
      </c>
      <c r="R804" s="71">
        <v>718</v>
      </c>
      <c r="T804" s="72">
        <v>16.440000000000001</v>
      </c>
      <c r="U804" s="71" t="s">
        <v>139</v>
      </c>
    </row>
    <row r="805" spans="1:21" x14ac:dyDescent="0.55000000000000004">
      <c r="A805" s="71">
        <v>861</v>
      </c>
      <c r="C805" s="73">
        <v>17.690000000000001</v>
      </c>
      <c r="D805" s="73">
        <v>18.64</v>
      </c>
      <c r="F805" s="71">
        <v>718</v>
      </c>
      <c r="H805" s="72">
        <v>16.440000000000001</v>
      </c>
      <c r="I805" s="71" t="s">
        <v>139</v>
      </c>
      <c r="R805" s="71">
        <v>718</v>
      </c>
      <c r="T805" s="72">
        <v>16.440000000000001</v>
      </c>
      <c r="U805" s="71" t="s">
        <v>139</v>
      </c>
    </row>
    <row r="806" spans="1:21" x14ac:dyDescent="0.55000000000000004">
      <c r="A806" s="71">
        <v>861</v>
      </c>
      <c r="C806" s="73">
        <v>17.690000000000001</v>
      </c>
      <c r="F806" s="71">
        <v>718</v>
      </c>
      <c r="H806" s="72">
        <v>16.48</v>
      </c>
      <c r="I806" s="71" t="s">
        <v>139</v>
      </c>
      <c r="R806" s="71">
        <v>718</v>
      </c>
      <c r="T806" s="72">
        <v>16.48</v>
      </c>
      <c r="U806" s="71" t="s">
        <v>139</v>
      </c>
    </row>
    <row r="807" spans="1:21" x14ac:dyDescent="0.55000000000000004">
      <c r="A807" s="71">
        <v>861</v>
      </c>
      <c r="C807" s="73">
        <v>17.690000000000001</v>
      </c>
      <c r="F807" s="71">
        <v>718</v>
      </c>
      <c r="H807" s="72">
        <v>16.48</v>
      </c>
      <c r="I807" s="71" t="s">
        <v>139</v>
      </c>
      <c r="R807" s="71">
        <v>718</v>
      </c>
      <c r="T807" s="72">
        <v>16.48</v>
      </c>
      <c r="U807" s="71" t="s">
        <v>139</v>
      </c>
    </row>
    <row r="808" spans="1:21" x14ac:dyDescent="0.55000000000000004">
      <c r="A808" s="71">
        <v>861</v>
      </c>
      <c r="C808" s="73">
        <v>17.690000000000001</v>
      </c>
      <c r="F808" s="71">
        <v>718</v>
      </c>
      <c r="H808" s="72">
        <v>16.760000000000002</v>
      </c>
      <c r="I808" s="71" t="s">
        <v>139</v>
      </c>
      <c r="R808" s="71">
        <v>718</v>
      </c>
      <c r="T808" s="72">
        <v>16.760000000000002</v>
      </c>
      <c r="U808" s="71" t="s">
        <v>139</v>
      </c>
    </row>
    <row r="809" spans="1:21" x14ac:dyDescent="0.55000000000000004">
      <c r="A809" s="71">
        <v>336</v>
      </c>
      <c r="C809" s="73">
        <v>17.690000000000001</v>
      </c>
      <c r="F809" s="71">
        <v>718</v>
      </c>
      <c r="H809" s="72">
        <v>16.89</v>
      </c>
      <c r="I809" s="71" t="s">
        <v>139</v>
      </c>
      <c r="R809" s="71">
        <v>718</v>
      </c>
      <c r="T809" s="72">
        <v>16.89</v>
      </c>
      <c r="U809" s="71" t="s">
        <v>139</v>
      </c>
    </row>
    <row r="810" spans="1:21" x14ac:dyDescent="0.55000000000000004">
      <c r="A810" s="71">
        <v>953</v>
      </c>
      <c r="C810" s="73">
        <v>17.72</v>
      </c>
      <c r="D810" s="73">
        <v>16</v>
      </c>
      <c r="F810" s="71">
        <v>718</v>
      </c>
      <c r="H810" s="72">
        <v>16.89</v>
      </c>
      <c r="I810" s="71" t="s">
        <v>139</v>
      </c>
      <c r="R810" s="71">
        <v>718</v>
      </c>
      <c r="T810" s="72">
        <v>16.89</v>
      </c>
      <c r="U810" s="71" t="s">
        <v>139</v>
      </c>
    </row>
    <row r="811" spans="1:21" x14ac:dyDescent="0.55000000000000004">
      <c r="A811" s="71">
        <v>575</v>
      </c>
      <c r="C811" s="73">
        <v>17.760000000000002</v>
      </c>
      <c r="D811" s="73">
        <v>19.759999999999994</v>
      </c>
      <c r="F811" s="71">
        <v>718</v>
      </c>
      <c r="H811" s="72">
        <v>17.48</v>
      </c>
      <c r="I811" s="71" t="s">
        <v>139</v>
      </c>
      <c r="R811" s="71">
        <v>718</v>
      </c>
      <c r="T811" s="72">
        <v>17.48</v>
      </c>
      <c r="U811" s="71" t="s">
        <v>139</v>
      </c>
    </row>
    <row r="812" spans="1:21" x14ac:dyDescent="0.55000000000000004">
      <c r="A812" s="71">
        <v>506</v>
      </c>
      <c r="C812" s="73">
        <v>17.809999999999999</v>
      </c>
      <c r="D812" s="73">
        <v>18</v>
      </c>
      <c r="F812" s="71">
        <v>718</v>
      </c>
      <c r="H812" s="72">
        <v>18.28</v>
      </c>
      <c r="I812" s="71" t="s">
        <v>139</v>
      </c>
      <c r="R812" s="71">
        <v>718</v>
      </c>
      <c r="T812" s="72">
        <v>18.28</v>
      </c>
      <c r="U812" s="71" t="s">
        <v>139</v>
      </c>
    </row>
    <row r="813" spans="1:21" x14ac:dyDescent="0.55000000000000004">
      <c r="A813" s="71">
        <v>542</v>
      </c>
      <c r="C813" s="73">
        <v>17.809999999999999</v>
      </c>
      <c r="D813" s="73">
        <v>18</v>
      </c>
      <c r="F813" s="71">
        <v>718</v>
      </c>
      <c r="H813" s="72">
        <v>18.38</v>
      </c>
      <c r="I813" s="71" t="s">
        <v>139</v>
      </c>
      <c r="R813" s="71">
        <v>718</v>
      </c>
      <c r="T813" s="72">
        <v>18.38</v>
      </c>
      <c r="U813" s="71" t="s">
        <v>139</v>
      </c>
    </row>
    <row r="814" spans="1:21" x14ac:dyDescent="0.55000000000000004">
      <c r="A814" s="71">
        <v>316</v>
      </c>
      <c r="C814" s="73">
        <v>17.850000000000001</v>
      </c>
      <c r="D814" s="73">
        <v>23</v>
      </c>
      <c r="F814" s="71">
        <v>718</v>
      </c>
      <c r="H814" s="72">
        <v>18.66</v>
      </c>
      <c r="I814" s="71" t="s">
        <v>139</v>
      </c>
      <c r="R814" s="71">
        <v>718</v>
      </c>
      <c r="T814" s="72">
        <v>18.66</v>
      </c>
      <c r="U814" s="71" t="s">
        <v>139</v>
      </c>
    </row>
    <row r="815" spans="1:21" x14ac:dyDescent="0.55000000000000004">
      <c r="A815" s="71">
        <v>642</v>
      </c>
      <c r="C815" s="73">
        <v>17.850000000000001</v>
      </c>
      <c r="D815" s="73">
        <v>16.525218584725504</v>
      </c>
      <c r="F815" s="71">
        <v>718</v>
      </c>
      <c r="H815" s="72">
        <v>18.739999999999998</v>
      </c>
      <c r="I815" s="71" t="s">
        <v>139</v>
      </c>
      <c r="R815" s="71">
        <v>718</v>
      </c>
      <c r="T815" s="72">
        <v>18.739999999999998</v>
      </c>
      <c r="U815" s="71" t="s">
        <v>139</v>
      </c>
    </row>
    <row r="816" spans="1:21" x14ac:dyDescent="0.55000000000000004">
      <c r="A816" s="71">
        <v>959</v>
      </c>
      <c r="C816" s="73">
        <v>17.88</v>
      </c>
      <c r="D816" s="73">
        <v>18.720000000000013</v>
      </c>
      <c r="F816" s="71">
        <v>718</v>
      </c>
      <c r="H816" s="72">
        <v>19.100000000000001</v>
      </c>
      <c r="I816" s="71" t="s">
        <v>139</v>
      </c>
      <c r="R816" s="71">
        <v>718</v>
      </c>
      <c r="T816" s="72">
        <v>19.100000000000001</v>
      </c>
      <c r="U816" s="71" t="s">
        <v>139</v>
      </c>
    </row>
    <row r="817" spans="1:21" x14ac:dyDescent="0.55000000000000004">
      <c r="A817" s="71">
        <v>550</v>
      </c>
      <c r="C817" s="73">
        <v>17.88</v>
      </c>
      <c r="D817" s="73">
        <v>17</v>
      </c>
      <c r="F817" s="71">
        <v>718</v>
      </c>
      <c r="H817" s="72">
        <v>19.100000000000001</v>
      </c>
      <c r="I817" s="71" t="s">
        <v>139</v>
      </c>
      <c r="R817" s="71">
        <v>718</v>
      </c>
      <c r="T817" s="72">
        <v>19.100000000000001</v>
      </c>
      <c r="U817" s="71" t="s">
        <v>139</v>
      </c>
    </row>
    <row r="818" spans="1:21" x14ac:dyDescent="0.55000000000000004">
      <c r="A818" s="71">
        <v>351</v>
      </c>
      <c r="C818" s="73">
        <v>17.89</v>
      </c>
      <c r="D818" s="73">
        <v>18.720000000000006</v>
      </c>
      <c r="F818" s="71">
        <v>718</v>
      </c>
      <c r="H818" s="72">
        <v>19.13</v>
      </c>
      <c r="I818" s="71" t="s">
        <v>139</v>
      </c>
      <c r="R818" s="71">
        <v>718</v>
      </c>
      <c r="T818" s="72">
        <v>19.13</v>
      </c>
      <c r="U818" s="71" t="s">
        <v>139</v>
      </c>
    </row>
    <row r="819" spans="1:21" x14ac:dyDescent="0.55000000000000004">
      <c r="A819" s="71">
        <v>535</v>
      </c>
      <c r="C819" s="73">
        <v>17.89</v>
      </c>
      <c r="D819" s="73">
        <v>18.657618807729534</v>
      </c>
      <c r="F819" s="71">
        <v>718</v>
      </c>
      <c r="H819" s="72">
        <v>19.149999999999999</v>
      </c>
      <c r="I819" s="71" t="s">
        <v>139</v>
      </c>
      <c r="R819" s="71">
        <v>718</v>
      </c>
      <c r="T819" s="72">
        <v>19.149999999999999</v>
      </c>
      <c r="U819" s="71" t="s">
        <v>139</v>
      </c>
    </row>
    <row r="820" spans="1:21" x14ac:dyDescent="0.55000000000000004">
      <c r="A820" s="71">
        <v>646</v>
      </c>
      <c r="C820" s="73">
        <v>17.89</v>
      </c>
      <c r="D820" s="73">
        <v>17</v>
      </c>
      <c r="F820" s="71">
        <v>718</v>
      </c>
      <c r="H820" s="72">
        <v>19.350000000000001</v>
      </c>
      <c r="I820" s="71" t="s">
        <v>139</v>
      </c>
      <c r="R820" s="71">
        <v>718</v>
      </c>
      <c r="T820" s="72">
        <v>19.350000000000001</v>
      </c>
      <c r="U820" s="71" t="s">
        <v>139</v>
      </c>
    </row>
    <row r="821" spans="1:21" x14ac:dyDescent="0.55000000000000004">
      <c r="A821" s="71">
        <v>646</v>
      </c>
      <c r="C821" s="73">
        <v>17.89</v>
      </c>
      <c r="D821" s="73">
        <v>18.657650727387725</v>
      </c>
      <c r="F821" s="71">
        <v>726</v>
      </c>
      <c r="H821" s="72">
        <v>14.66</v>
      </c>
      <c r="I821" s="71" t="s">
        <v>139</v>
      </c>
      <c r="R821" s="71">
        <v>726</v>
      </c>
      <c r="T821" s="72">
        <v>14.66</v>
      </c>
      <c r="U821" s="71" t="s">
        <v>139</v>
      </c>
    </row>
    <row r="822" spans="1:21" x14ac:dyDescent="0.55000000000000004">
      <c r="A822" s="71">
        <v>646</v>
      </c>
      <c r="C822" s="73">
        <v>17.89</v>
      </c>
      <c r="D822" s="73">
        <v>20.243599594784786</v>
      </c>
      <c r="F822" s="71">
        <v>726</v>
      </c>
      <c r="H822" s="72">
        <v>15.97</v>
      </c>
      <c r="I822" s="71" t="s">
        <v>139</v>
      </c>
      <c r="R822" s="71">
        <v>726</v>
      </c>
      <c r="T822" s="72">
        <v>15.97</v>
      </c>
      <c r="U822" s="71" t="s">
        <v>139</v>
      </c>
    </row>
    <row r="823" spans="1:21" x14ac:dyDescent="0.55000000000000004">
      <c r="A823" s="71">
        <v>183</v>
      </c>
      <c r="C823" s="73">
        <v>17.899999999999999</v>
      </c>
      <c r="D823" s="73">
        <v>18.660383414455342</v>
      </c>
      <c r="F823" s="71">
        <v>728</v>
      </c>
      <c r="H823" s="72">
        <v>13</v>
      </c>
      <c r="I823" s="71" t="s">
        <v>139</v>
      </c>
      <c r="R823" s="71">
        <v>728</v>
      </c>
      <c r="T823" s="72">
        <v>13</v>
      </c>
      <c r="U823" s="71" t="s">
        <v>139</v>
      </c>
    </row>
    <row r="824" spans="1:21" x14ac:dyDescent="0.55000000000000004">
      <c r="A824" s="71">
        <v>575</v>
      </c>
      <c r="C824" s="73">
        <v>17.920000000000002</v>
      </c>
      <c r="D824" s="73">
        <v>20.239999999999998</v>
      </c>
      <c r="F824" s="71">
        <v>728</v>
      </c>
      <c r="H824" s="72">
        <v>15.05</v>
      </c>
      <c r="I824" s="71" t="s">
        <v>139</v>
      </c>
      <c r="R824" s="71">
        <v>728</v>
      </c>
      <c r="T824" s="72">
        <v>15.05</v>
      </c>
      <c r="U824" s="71" t="s">
        <v>139</v>
      </c>
    </row>
    <row r="825" spans="1:21" x14ac:dyDescent="0.55000000000000004">
      <c r="A825" s="71">
        <v>560</v>
      </c>
      <c r="C825" s="73">
        <v>17.940000000000001</v>
      </c>
      <c r="F825" s="71">
        <v>728</v>
      </c>
      <c r="H825" s="72">
        <v>15.06</v>
      </c>
      <c r="I825" s="71" t="s">
        <v>139</v>
      </c>
      <c r="R825" s="71">
        <v>728</v>
      </c>
      <c r="T825" s="72">
        <v>15.06</v>
      </c>
      <c r="U825" s="71" t="s">
        <v>139</v>
      </c>
    </row>
    <row r="826" spans="1:21" x14ac:dyDescent="0.55000000000000004">
      <c r="A826" s="71">
        <v>540</v>
      </c>
      <c r="C826" s="73">
        <v>17.95</v>
      </c>
      <c r="F826" s="71">
        <v>728</v>
      </c>
      <c r="H826" s="72">
        <v>17.09</v>
      </c>
      <c r="I826" s="71" t="s">
        <v>139</v>
      </c>
      <c r="R826" s="71">
        <v>728</v>
      </c>
      <c r="T826" s="72">
        <v>17.09</v>
      </c>
      <c r="U826" s="71" t="s">
        <v>139</v>
      </c>
    </row>
    <row r="827" spans="1:21" x14ac:dyDescent="0.55000000000000004">
      <c r="A827" s="71">
        <v>901</v>
      </c>
      <c r="C827" s="73">
        <v>17.97</v>
      </c>
      <c r="F827" s="71">
        <v>738</v>
      </c>
      <c r="H827" s="72">
        <v>13</v>
      </c>
      <c r="I827" s="71" t="s">
        <v>139</v>
      </c>
      <c r="R827" s="71">
        <v>738</v>
      </c>
      <c r="T827" s="72">
        <v>13</v>
      </c>
      <c r="U827" s="71" t="s">
        <v>139</v>
      </c>
    </row>
    <row r="828" spans="1:21" x14ac:dyDescent="0.55000000000000004">
      <c r="A828" s="71">
        <v>540</v>
      </c>
      <c r="C828" s="73">
        <v>17.97</v>
      </c>
      <c r="F828" s="71">
        <v>738</v>
      </c>
      <c r="H828" s="72">
        <v>13</v>
      </c>
      <c r="I828" s="71" t="s">
        <v>139</v>
      </c>
      <c r="R828" s="71">
        <v>738</v>
      </c>
      <c r="T828" s="72">
        <v>13</v>
      </c>
      <c r="U828" s="71" t="s">
        <v>139</v>
      </c>
    </row>
    <row r="829" spans="1:21" x14ac:dyDescent="0.55000000000000004">
      <c r="A829" s="71">
        <v>142</v>
      </c>
      <c r="C829" s="73">
        <v>17.9712</v>
      </c>
      <c r="F829" s="71">
        <v>738</v>
      </c>
      <c r="H829" s="72">
        <v>13</v>
      </c>
      <c r="I829" s="71" t="s">
        <v>139</v>
      </c>
      <c r="R829" s="71">
        <v>738</v>
      </c>
      <c r="T829" s="72">
        <v>13</v>
      </c>
      <c r="U829" s="71" t="s">
        <v>139</v>
      </c>
    </row>
    <row r="830" spans="1:21" x14ac:dyDescent="0.55000000000000004">
      <c r="A830" s="71">
        <v>604</v>
      </c>
      <c r="C830" s="73">
        <v>17.98</v>
      </c>
      <c r="F830" s="71">
        <v>738</v>
      </c>
      <c r="H830" s="72">
        <v>13</v>
      </c>
      <c r="I830" s="71" t="s">
        <v>139</v>
      </c>
      <c r="R830" s="71">
        <v>738</v>
      </c>
      <c r="T830" s="72">
        <v>13</v>
      </c>
      <c r="U830" s="71" t="s">
        <v>139</v>
      </c>
    </row>
    <row r="831" spans="1:21" x14ac:dyDescent="0.55000000000000004">
      <c r="A831" s="71">
        <v>967</v>
      </c>
      <c r="C831" s="73">
        <v>18</v>
      </c>
      <c r="D831" s="73">
        <v>21.5</v>
      </c>
      <c r="F831" s="71">
        <v>738</v>
      </c>
      <c r="H831" s="72">
        <v>13.13</v>
      </c>
      <c r="I831" s="71" t="s">
        <v>139</v>
      </c>
      <c r="R831" s="71">
        <v>738</v>
      </c>
      <c r="T831" s="72">
        <v>13.13</v>
      </c>
      <c r="U831" s="71" t="s">
        <v>139</v>
      </c>
    </row>
    <row r="832" spans="1:21" x14ac:dyDescent="0.55000000000000004">
      <c r="A832" s="71">
        <v>776</v>
      </c>
      <c r="C832" s="73">
        <v>18</v>
      </c>
      <c r="D832" s="73">
        <v>23</v>
      </c>
      <c r="F832" s="71">
        <v>738</v>
      </c>
      <c r="H832" s="72">
        <v>13.26</v>
      </c>
      <c r="I832" s="71" t="s">
        <v>139</v>
      </c>
      <c r="R832" s="71">
        <v>738</v>
      </c>
      <c r="T832" s="72">
        <v>13.26</v>
      </c>
      <c r="U832" s="71" t="s">
        <v>139</v>
      </c>
    </row>
    <row r="833" spans="1:21" x14ac:dyDescent="0.55000000000000004">
      <c r="A833" s="71">
        <v>145</v>
      </c>
      <c r="C833" s="73">
        <v>18</v>
      </c>
      <c r="D833" s="73">
        <v>23.47</v>
      </c>
      <c r="F833" s="71">
        <v>738</v>
      </c>
      <c r="H833" s="72">
        <v>13.39</v>
      </c>
      <c r="I833" s="71" t="s">
        <v>139</v>
      </c>
      <c r="R833" s="71">
        <v>738</v>
      </c>
      <c r="T833" s="72">
        <v>13.39</v>
      </c>
      <c r="U833" s="71" t="s">
        <v>139</v>
      </c>
    </row>
    <row r="834" spans="1:21" x14ac:dyDescent="0.55000000000000004">
      <c r="A834" s="71">
        <v>560</v>
      </c>
      <c r="C834" s="73">
        <v>18</v>
      </c>
      <c r="F834" s="71">
        <v>738</v>
      </c>
      <c r="H834" s="72">
        <v>13.39</v>
      </c>
      <c r="I834" s="71" t="s">
        <v>139</v>
      </c>
      <c r="R834" s="71">
        <v>738</v>
      </c>
      <c r="T834" s="72">
        <v>13.39</v>
      </c>
      <c r="U834" s="71" t="s">
        <v>139</v>
      </c>
    </row>
    <row r="835" spans="1:21" x14ac:dyDescent="0.55000000000000004">
      <c r="A835" s="71">
        <v>218</v>
      </c>
      <c r="C835" s="73">
        <v>18</v>
      </c>
      <c r="F835" s="71">
        <v>738</v>
      </c>
      <c r="H835" s="72">
        <v>17</v>
      </c>
      <c r="I835" s="71" t="s">
        <v>139</v>
      </c>
      <c r="R835" s="71">
        <v>738</v>
      </c>
      <c r="T835" s="72">
        <v>17</v>
      </c>
      <c r="U835" s="71" t="s">
        <v>139</v>
      </c>
    </row>
    <row r="836" spans="1:21" x14ac:dyDescent="0.55000000000000004">
      <c r="A836" s="71">
        <v>218</v>
      </c>
      <c r="C836" s="73">
        <v>18</v>
      </c>
      <c r="F836" s="71">
        <v>756</v>
      </c>
      <c r="H836" s="72">
        <v>14.14</v>
      </c>
      <c r="I836" s="71" t="s">
        <v>139</v>
      </c>
      <c r="R836" s="71">
        <v>756</v>
      </c>
      <c r="T836" s="72">
        <v>14.14</v>
      </c>
      <c r="U836" s="71" t="s">
        <v>139</v>
      </c>
    </row>
    <row r="837" spans="1:21" x14ac:dyDescent="0.55000000000000004">
      <c r="A837" s="71">
        <v>218</v>
      </c>
      <c r="C837" s="73">
        <v>18</v>
      </c>
      <c r="F837" s="71">
        <v>756</v>
      </c>
      <c r="H837" s="72">
        <v>14.56</v>
      </c>
      <c r="I837" s="71" t="s">
        <v>139</v>
      </c>
      <c r="R837" s="71">
        <v>756</v>
      </c>
      <c r="T837" s="72">
        <v>14.56</v>
      </c>
      <c r="U837" s="71" t="s">
        <v>139</v>
      </c>
    </row>
    <row r="838" spans="1:21" x14ac:dyDescent="0.55000000000000004">
      <c r="A838" s="71">
        <v>218</v>
      </c>
      <c r="C838" s="73">
        <v>18</v>
      </c>
      <c r="F838" s="71">
        <v>756</v>
      </c>
      <c r="H838" s="72">
        <v>14.78</v>
      </c>
      <c r="I838" s="71" t="s">
        <v>139</v>
      </c>
      <c r="R838" s="71">
        <v>756</v>
      </c>
      <c r="T838" s="72">
        <v>14.78</v>
      </c>
      <c r="U838" s="71" t="s">
        <v>139</v>
      </c>
    </row>
    <row r="839" spans="1:21" x14ac:dyDescent="0.55000000000000004">
      <c r="A839" s="71">
        <v>218</v>
      </c>
      <c r="C839" s="73">
        <v>18</v>
      </c>
      <c r="F839" s="71">
        <v>756</v>
      </c>
      <c r="H839" s="72">
        <v>15.58</v>
      </c>
      <c r="I839" s="71" t="s">
        <v>139</v>
      </c>
      <c r="R839" s="71">
        <v>756</v>
      </c>
      <c r="T839" s="72">
        <v>15.58</v>
      </c>
      <c r="U839" s="71" t="s">
        <v>139</v>
      </c>
    </row>
    <row r="840" spans="1:21" x14ac:dyDescent="0.55000000000000004">
      <c r="A840" s="71">
        <v>383</v>
      </c>
      <c r="C840" s="73">
        <v>18</v>
      </c>
      <c r="D840" s="73">
        <v>19.190000000000001</v>
      </c>
      <c r="F840" s="71">
        <v>756</v>
      </c>
      <c r="H840" s="72">
        <v>16.16</v>
      </c>
      <c r="I840" s="71" t="s">
        <v>139</v>
      </c>
      <c r="R840" s="71">
        <v>756</v>
      </c>
      <c r="T840" s="72">
        <v>16.16</v>
      </c>
      <c r="U840" s="71" t="s">
        <v>139</v>
      </c>
    </row>
    <row r="841" spans="1:21" x14ac:dyDescent="0.55000000000000004">
      <c r="A841" s="71">
        <v>383</v>
      </c>
      <c r="C841" s="73">
        <v>18</v>
      </c>
      <c r="D841" s="73">
        <v>19.7</v>
      </c>
      <c r="F841" s="71">
        <v>756</v>
      </c>
      <c r="H841" s="72">
        <v>17.43</v>
      </c>
      <c r="I841" s="71" t="s">
        <v>139</v>
      </c>
      <c r="R841" s="71">
        <v>756</v>
      </c>
      <c r="T841" s="72">
        <v>17.43</v>
      </c>
      <c r="U841" s="71" t="s">
        <v>139</v>
      </c>
    </row>
    <row r="842" spans="1:21" x14ac:dyDescent="0.55000000000000004">
      <c r="A842" s="71">
        <v>383</v>
      </c>
      <c r="C842" s="73">
        <v>18</v>
      </c>
      <c r="D842" s="73">
        <v>19.190000000000001</v>
      </c>
      <c r="F842" s="71">
        <v>771</v>
      </c>
      <c r="H842" s="72">
        <v>15.97</v>
      </c>
      <c r="I842" s="71" t="s">
        <v>139</v>
      </c>
      <c r="R842" s="71">
        <v>771</v>
      </c>
      <c r="T842" s="72">
        <v>15.97</v>
      </c>
      <c r="U842" s="71" t="s">
        <v>139</v>
      </c>
    </row>
    <row r="843" spans="1:21" x14ac:dyDescent="0.55000000000000004">
      <c r="A843" s="71">
        <v>383</v>
      </c>
      <c r="C843" s="73">
        <v>18</v>
      </c>
      <c r="D843" s="73">
        <v>18.73</v>
      </c>
      <c r="F843" s="71">
        <v>771</v>
      </c>
      <c r="H843" s="72">
        <v>15.97</v>
      </c>
      <c r="I843" s="71" t="s">
        <v>139</v>
      </c>
      <c r="R843" s="71">
        <v>771</v>
      </c>
      <c r="T843" s="72">
        <v>15.97</v>
      </c>
      <c r="U843" s="71" t="s">
        <v>139</v>
      </c>
    </row>
    <row r="844" spans="1:21" x14ac:dyDescent="0.55000000000000004">
      <c r="A844" s="71">
        <v>383</v>
      </c>
      <c r="C844" s="75">
        <v>18</v>
      </c>
      <c r="D844" s="75"/>
      <c r="F844" s="71">
        <v>771</v>
      </c>
      <c r="H844" s="72">
        <v>15.97</v>
      </c>
      <c r="I844" s="71" t="s">
        <v>139</v>
      </c>
      <c r="R844" s="71">
        <v>771</v>
      </c>
      <c r="T844" s="72">
        <v>15.97</v>
      </c>
      <c r="U844" s="71" t="s">
        <v>139</v>
      </c>
    </row>
    <row r="845" spans="1:21" x14ac:dyDescent="0.55000000000000004">
      <c r="A845" s="71">
        <v>383</v>
      </c>
      <c r="C845" s="75">
        <v>18</v>
      </c>
      <c r="D845" s="75"/>
      <c r="F845" s="71">
        <v>771</v>
      </c>
      <c r="H845" s="72">
        <v>15.97</v>
      </c>
      <c r="I845" s="71" t="s">
        <v>139</v>
      </c>
      <c r="R845" s="71">
        <v>771</v>
      </c>
      <c r="T845" s="72">
        <v>15.97</v>
      </c>
      <c r="U845" s="71" t="s">
        <v>139</v>
      </c>
    </row>
    <row r="846" spans="1:21" x14ac:dyDescent="0.55000000000000004">
      <c r="A846" s="71">
        <v>383</v>
      </c>
      <c r="C846" s="75">
        <v>18</v>
      </c>
      <c r="D846" s="75">
        <v>20</v>
      </c>
      <c r="F846" s="71">
        <v>771</v>
      </c>
      <c r="H846" s="72">
        <v>15.97</v>
      </c>
      <c r="I846" s="71" t="s">
        <v>139</v>
      </c>
      <c r="R846" s="71">
        <v>771</v>
      </c>
      <c r="T846" s="72">
        <v>15.97</v>
      </c>
      <c r="U846" s="71" t="s">
        <v>139</v>
      </c>
    </row>
    <row r="847" spans="1:21" x14ac:dyDescent="0.55000000000000004">
      <c r="A847" s="71">
        <v>550</v>
      </c>
      <c r="C847" s="73">
        <v>18.04</v>
      </c>
      <c r="D847" s="73">
        <v>21</v>
      </c>
      <c r="F847" s="71">
        <v>771</v>
      </c>
      <c r="H847" s="72">
        <v>15.97</v>
      </c>
      <c r="I847" s="71" t="s">
        <v>139</v>
      </c>
      <c r="R847" s="71">
        <v>771</v>
      </c>
      <c r="T847" s="72">
        <v>15.97</v>
      </c>
      <c r="U847" s="71" t="s">
        <v>139</v>
      </c>
    </row>
    <row r="848" spans="1:21" x14ac:dyDescent="0.55000000000000004">
      <c r="A848" s="71">
        <v>145</v>
      </c>
      <c r="C848" s="73">
        <v>18.05</v>
      </c>
      <c r="D848" s="73">
        <v>17</v>
      </c>
      <c r="F848" s="71">
        <v>776</v>
      </c>
      <c r="H848" s="72">
        <v>16.5</v>
      </c>
      <c r="I848" s="71" t="s">
        <v>139</v>
      </c>
      <c r="R848" s="71">
        <v>776</v>
      </c>
      <c r="T848" s="72">
        <v>16.5</v>
      </c>
      <c r="U848" s="71" t="s">
        <v>139</v>
      </c>
    </row>
    <row r="849" spans="1:21" x14ac:dyDescent="0.55000000000000004">
      <c r="A849" s="71">
        <v>351</v>
      </c>
      <c r="C849" s="73">
        <v>18.07</v>
      </c>
      <c r="F849" s="71">
        <v>776</v>
      </c>
      <c r="H849" s="72">
        <v>16.5</v>
      </c>
      <c r="I849" s="71" t="s">
        <v>139</v>
      </c>
      <c r="R849" s="71">
        <v>776</v>
      </c>
      <c r="T849" s="72">
        <v>16.5</v>
      </c>
      <c r="U849" s="71" t="s">
        <v>139</v>
      </c>
    </row>
    <row r="850" spans="1:21" x14ac:dyDescent="0.55000000000000004">
      <c r="A850" s="71">
        <v>535</v>
      </c>
      <c r="C850" s="73">
        <v>18.07</v>
      </c>
      <c r="F850" s="71">
        <v>776</v>
      </c>
      <c r="H850" s="72">
        <v>16.5</v>
      </c>
      <c r="I850" s="71" t="s">
        <v>139</v>
      </c>
      <c r="R850" s="71">
        <v>776</v>
      </c>
      <c r="T850" s="72">
        <v>16.5</v>
      </c>
      <c r="U850" s="71" t="s">
        <v>139</v>
      </c>
    </row>
    <row r="851" spans="1:21" x14ac:dyDescent="0.55000000000000004">
      <c r="A851" s="71">
        <v>646</v>
      </c>
      <c r="C851" s="73">
        <v>18.07</v>
      </c>
      <c r="F851" s="71">
        <v>776</v>
      </c>
      <c r="H851" s="72">
        <v>16.5</v>
      </c>
      <c r="I851" s="71" t="s">
        <v>139</v>
      </c>
      <c r="R851" s="71">
        <v>776</v>
      </c>
      <c r="T851" s="72">
        <v>16.5</v>
      </c>
      <c r="U851" s="71" t="s">
        <v>139</v>
      </c>
    </row>
    <row r="852" spans="1:21" x14ac:dyDescent="0.55000000000000004">
      <c r="A852" s="71">
        <v>646</v>
      </c>
      <c r="C852" s="73">
        <v>18.07</v>
      </c>
      <c r="F852" s="71">
        <v>776</v>
      </c>
      <c r="H852" s="72">
        <v>18</v>
      </c>
      <c r="I852" s="71" t="s">
        <v>139</v>
      </c>
      <c r="R852" s="71">
        <v>776</v>
      </c>
      <c r="T852" s="72">
        <v>18</v>
      </c>
      <c r="U852" s="71" t="s">
        <v>139</v>
      </c>
    </row>
    <row r="853" spans="1:21" x14ac:dyDescent="0.55000000000000004">
      <c r="A853" s="71">
        <v>145</v>
      </c>
      <c r="C853" s="73">
        <v>18.079999999999998</v>
      </c>
      <c r="F853" s="71">
        <v>776</v>
      </c>
      <c r="H853" s="72">
        <v>19</v>
      </c>
      <c r="I853" s="71" t="s">
        <v>139</v>
      </c>
      <c r="R853" s="71">
        <v>776</v>
      </c>
      <c r="T853" s="72">
        <v>19</v>
      </c>
      <c r="U853" s="71" t="s">
        <v>139</v>
      </c>
    </row>
    <row r="854" spans="1:21" x14ac:dyDescent="0.55000000000000004">
      <c r="A854" s="71">
        <v>962</v>
      </c>
      <c r="C854" s="73">
        <v>18.09</v>
      </c>
      <c r="F854" s="71">
        <v>777</v>
      </c>
      <c r="H854" s="72">
        <v>14.18</v>
      </c>
      <c r="I854" s="71" t="s">
        <v>139</v>
      </c>
      <c r="R854" s="71">
        <v>777</v>
      </c>
      <c r="T854" s="72">
        <v>14.18</v>
      </c>
      <c r="U854" s="71" t="s">
        <v>139</v>
      </c>
    </row>
    <row r="855" spans="1:21" x14ac:dyDescent="0.55000000000000004">
      <c r="A855" s="71">
        <v>558</v>
      </c>
      <c r="C855" s="74">
        <v>18.100000000000001</v>
      </c>
      <c r="D855" s="74"/>
      <c r="F855" s="71">
        <v>777</v>
      </c>
      <c r="H855" s="72">
        <v>14.78</v>
      </c>
      <c r="I855" s="71" t="s">
        <v>139</v>
      </c>
      <c r="R855" s="71">
        <v>777</v>
      </c>
      <c r="T855" s="72">
        <v>14.78</v>
      </c>
      <c r="U855" s="71" t="s">
        <v>139</v>
      </c>
    </row>
    <row r="856" spans="1:21" x14ac:dyDescent="0.55000000000000004">
      <c r="A856" s="71">
        <v>953</v>
      </c>
      <c r="C856" s="73">
        <v>18.11</v>
      </c>
      <c r="F856" s="71">
        <v>777</v>
      </c>
      <c r="H856" s="72">
        <v>15.3</v>
      </c>
      <c r="I856" s="71" t="s">
        <v>139</v>
      </c>
      <c r="R856" s="71">
        <v>777</v>
      </c>
      <c r="T856" s="72">
        <v>15.3</v>
      </c>
      <c r="U856" s="71" t="s">
        <v>139</v>
      </c>
    </row>
    <row r="857" spans="1:21" x14ac:dyDescent="0.55000000000000004">
      <c r="A857" s="71">
        <v>606</v>
      </c>
      <c r="C857" s="73">
        <v>18.12</v>
      </c>
      <c r="F857" s="71">
        <v>777</v>
      </c>
      <c r="H857" s="72">
        <v>17.170000000000002</v>
      </c>
      <c r="I857" s="71" t="s">
        <v>139</v>
      </c>
      <c r="R857" s="71">
        <v>777</v>
      </c>
      <c r="T857" s="72">
        <v>17.170000000000002</v>
      </c>
      <c r="U857" s="71" t="s">
        <v>139</v>
      </c>
    </row>
    <row r="858" spans="1:21" x14ac:dyDescent="0.55000000000000004">
      <c r="A858" s="71">
        <v>555</v>
      </c>
      <c r="C858" s="73">
        <v>18.13</v>
      </c>
      <c r="F858" s="71">
        <v>783</v>
      </c>
      <c r="H858" s="72">
        <v>13.42</v>
      </c>
      <c r="I858" s="71" t="s">
        <v>139</v>
      </c>
      <c r="R858" s="71">
        <v>783</v>
      </c>
      <c r="T858" s="72">
        <v>13.42</v>
      </c>
      <c r="U858" s="71" t="s">
        <v>139</v>
      </c>
    </row>
    <row r="859" spans="1:21" x14ac:dyDescent="0.55000000000000004">
      <c r="A859" s="71">
        <v>712</v>
      </c>
      <c r="C859" s="73">
        <v>18.149999999999999</v>
      </c>
      <c r="F859" s="71">
        <v>783</v>
      </c>
      <c r="H859" s="72">
        <v>13.42</v>
      </c>
      <c r="I859" s="71" t="s">
        <v>139</v>
      </c>
      <c r="R859" s="71">
        <v>783</v>
      </c>
      <c r="T859" s="72">
        <v>13.42</v>
      </c>
      <c r="U859" s="71" t="s">
        <v>139</v>
      </c>
    </row>
    <row r="860" spans="1:21" x14ac:dyDescent="0.55000000000000004">
      <c r="A860" s="71">
        <v>712</v>
      </c>
      <c r="C860" s="73">
        <v>18.149999999999999</v>
      </c>
      <c r="F860" s="71">
        <v>783</v>
      </c>
      <c r="H860" s="72">
        <v>13.42</v>
      </c>
      <c r="I860" s="71" t="s">
        <v>139</v>
      </c>
      <c r="R860" s="71">
        <v>783</v>
      </c>
      <c r="T860" s="72">
        <v>13.42</v>
      </c>
      <c r="U860" s="71" t="s">
        <v>139</v>
      </c>
    </row>
    <row r="861" spans="1:21" x14ac:dyDescent="0.55000000000000004">
      <c r="A861" s="71">
        <v>712</v>
      </c>
      <c r="C861" s="73">
        <v>18.149999999999999</v>
      </c>
      <c r="F861" s="71">
        <v>783</v>
      </c>
      <c r="H861" s="72">
        <v>13.42</v>
      </c>
      <c r="I861" s="71" t="s">
        <v>139</v>
      </c>
      <c r="R861" s="71">
        <v>783</v>
      </c>
      <c r="T861" s="72">
        <v>13.42</v>
      </c>
      <c r="U861" s="71" t="s">
        <v>139</v>
      </c>
    </row>
    <row r="862" spans="1:21" x14ac:dyDescent="0.55000000000000004">
      <c r="A862" s="71">
        <v>540</v>
      </c>
      <c r="C862" s="73">
        <v>18.18</v>
      </c>
      <c r="F862" s="71">
        <v>783</v>
      </c>
      <c r="H862" s="72">
        <v>13.42</v>
      </c>
      <c r="I862" s="71" t="s">
        <v>139</v>
      </c>
      <c r="R862" s="71">
        <v>783</v>
      </c>
      <c r="T862" s="72">
        <v>13.42</v>
      </c>
      <c r="U862" s="71" t="s">
        <v>139</v>
      </c>
    </row>
    <row r="863" spans="1:21" x14ac:dyDescent="0.55000000000000004">
      <c r="A863" s="71">
        <v>542</v>
      </c>
      <c r="C863" s="73">
        <v>18.190000000000001</v>
      </c>
      <c r="F863" s="71">
        <v>783</v>
      </c>
      <c r="H863" s="72">
        <v>13.7</v>
      </c>
      <c r="I863" s="71" t="s">
        <v>139</v>
      </c>
      <c r="R863" s="71">
        <v>783</v>
      </c>
      <c r="T863" s="72">
        <v>13.7</v>
      </c>
      <c r="U863" s="71" t="s">
        <v>139</v>
      </c>
    </row>
    <row r="864" spans="1:21" x14ac:dyDescent="0.55000000000000004">
      <c r="A864" s="71">
        <v>315</v>
      </c>
      <c r="C864" s="73">
        <v>18.21</v>
      </c>
      <c r="F864" s="71">
        <v>783</v>
      </c>
      <c r="H864" s="72">
        <v>13.7</v>
      </c>
      <c r="I864" s="71" t="s">
        <v>139</v>
      </c>
      <c r="R864" s="71">
        <v>783</v>
      </c>
      <c r="T864" s="72">
        <v>13.7</v>
      </c>
      <c r="U864" s="71" t="s">
        <v>139</v>
      </c>
    </row>
    <row r="865" spans="1:21" x14ac:dyDescent="0.55000000000000004">
      <c r="A865" s="71">
        <v>555</v>
      </c>
      <c r="C865" s="73">
        <v>18.239999999999998</v>
      </c>
      <c r="F865" s="71">
        <v>783</v>
      </c>
      <c r="H865" s="72">
        <v>13.9702</v>
      </c>
      <c r="I865" s="71" t="s">
        <v>139</v>
      </c>
      <c r="R865" s="71">
        <v>783</v>
      </c>
      <c r="T865" s="72">
        <v>13.9702</v>
      </c>
      <c r="U865" s="71" t="s">
        <v>139</v>
      </c>
    </row>
    <row r="866" spans="1:21" x14ac:dyDescent="0.55000000000000004">
      <c r="A866" s="71">
        <v>690</v>
      </c>
      <c r="C866" s="73">
        <v>18.25</v>
      </c>
      <c r="F866" s="71">
        <v>783</v>
      </c>
      <c r="H866" s="72">
        <v>14.076000000000001</v>
      </c>
      <c r="I866" s="71" t="s">
        <v>139</v>
      </c>
      <c r="R866" s="71">
        <v>783</v>
      </c>
      <c r="T866" s="72">
        <v>14.076000000000001</v>
      </c>
      <c r="U866" s="71" t="s">
        <v>139</v>
      </c>
    </row>
    <row r="867" spans="1:21" x14ac:dyDescent="0.55000000000000004">
      <c r="A867" s="71">
        <v>558</v>
      </c>
      <c r="C867" s="74">
        <v>18.25</v>
      </c>
      <c r="D867" s="74"/>
      <c r="F867" s="71">
        <v>783</v>
      </c>
      <c r="H867" s="72">
        <v>15.928900000000001</v>
      </c>
      <c r="I867" s="71" t="s">
        <v>139</v>
      </c>
      <c r="R867" s="71">
        <v>783</v>
      </c>
      <c r="T867" s="72">
        <v>15.928900000000001</v>
      </c>
      <c r="U867" s="71" t="s">
        <v>139</v>
      </c>
    </row>
    <row r="868" spans="1:21" x14ac:dyDescent="0.55000000000000004">
      <c r="A868" s="71">
        <v>420</v>
      </c>
      <c r="C868" s="73">
        <v>18.25</v>
      </c>
      <c r="F868" s="71">
        <v>783</v>
      </c>
      <c r="H868" s="72">
        <v>18.73</v>
      </c>
      <c r="I868" s="71" t="s">
        <v>139</v>
      </c>
      <c r="R868" s="71">
        <v>783</v>
      </c>
      <c r="T868" s="72">
        <v>18.73</v>
      </c>
      <c r="U868" s="71" t="s">
        <v>139</v>
      </c>
    </row>
    <row r="869" spans="1:21" x14ac:dyDescent="0.55000000000000004">
      <c r="A869" s="71">
        <v>646</v>
      </c>
      <c r="C869" s="73">
        <v>18.25</v>
      </c>
      <c r="F869" s="71">
        <v>788</v>
      </c>
      <c r="H869" s="72">
        <v>15</v>
      </c>
      <c r="I869" s="71" t="s">
        <v>139</v>
      </c>
      <c r="R869" s="71">
        <v>788</v>
      </c>
      <c r="T869" s="72">
        <v>15</v>
      </c>
      <c r="U869" s="71" t="s">
        <v>139</v>
      </c>
    </row>
    <row r="870" spans="1:21" x14ac:dyDescent="0.55000000000000004">
      <c r="A870" s="71">
        <v>718</v>
      </c>
      <c r="C870" s="75">
        <v>18.28</v>
      </c>
      <c r="D870" s="75">
        <v>17.52</v>
      </c>
      <c r="F870" s="71">
        <v>788</v>
      </c>
      <c r="H870" s="72">
        <v>15</v>
      </c>
      <c r="I870" s="71" t="s">
        <v>139</v>
      </c>
      <c r="R870" s="71">
        <v>788</v>
      </c>
      <c r="T870" s="72">
        <v>15</v>
      </c>
      <c r="U870" s="71" t="s">
        <v>139</v>
      </c>
    </row>
    <row r="871" spans="1:21" x14ac:dyDescent="0.55000000000000004">
      <c r="A871" s="71">
        <v>644</v>
      </c>
      <c r="C871" s="73">
        <v>18.32</v>
      </c>
      <c r="D871" s="73">
        <v>21.86</v>
      </c>
      <c r="F871" s="71">
        <v>788</v>
      </c>
      <c r="H871" s="72">
        <v>15</v>
      </c>
      <c r="I871" s="71" t="s">
        <v>139</v>
      </c>
      <c r="R871" s="71">
        <v>788</v>
      </c>
      <c r="T871" s="72">
        <v>15</v>
      </c>
      <c r="U871" s="71" t="s">
        <v>139</v>
      </c>
    </row>
    <row r="872" spans="1:21" x14ac:dyDescent="0.55000000000000004">
      <c r="A872" s="71">
        <v>883</v>
      </c>
      <c r="C872" s="73">
        <v>18.38</v>
      </c>
      <c r="D872" s="73">
        <v>22.42</v>
      </c>
      <c r="F872" s="71">
        <v>803</v>
      </c>
      <c r="H872" s="72">
        <v>15.71</v>
      </c>
      <c r="I872" s="71" t="s">
        <v>139</v>
      </c>
      <c r="R872" s="71">
        <v>803</v>
      </c>
      <c r="T872" s="72">
        <v>15.71</v>
      </c>
      <c r="U872" s="71" t="s">
        <v>139</v>
      </c>
    </row>
    <row r="873" spans="1:21" x14ac:dyDescent="0.55000000000000004">
      <c r="A873" s="71">
        <v>718</v>
      </c>
      <c r="C873" s="73">
        <v>18.38</v>
      </c>
      <c r="F873" s="71">
        <v>803</v>
      </c>
      <c r="H873" s="72">
        <v>15.71</v>
      </c>
      <c r="I873" s="71" t="s">
        <v>139</v>
      </c>
      <c r="R873" s="71">
        <v>803</v>
      </c>
      <c r="T873" s="72">
        <v>15.71</v>
      </c>
      <c r="U873" s="71" t="s">
        <v>139</v>
      </c>
    </row>
    <row r="874" spans="1:21" x14ac:dyDescent="0.55000000000000004">
      <c r="A874" s="71">
        <v>560</v>
      </c>
      <c r="C874" s="73">
        <v>18.39</v>
      </c>
      <c r="F874" s="71">
        <v>803</v>
      </c>
      <c r="H874" s="72">
        <v>15.71</v>
      </c>
      <c r="I874" s="71" t="s">
        <v>139</v>
      </c>
      <c r="R874" s="71">
        <v>803</v>
      </c>
      <c r="T874" s="72">
        <v>15.71</v>
      </c>
      <c r="U874" s="71" t="s">
        <v>139</v>
      </c>
    </row>
    <row r="875" spans="1:21" x14ac:dyDescent="0.55000000000000004">
      <c r="A875" s="71">
        <v>555</v>
      </c>
      <c r="C875" s="73">
        <v>18.39</v>
      </c>
      <c r="F875" s="71">
        <v>803</v>
      </c>
      <c r="H875" s="72">
        <v>16.239999999999998</v>
      </c>
      <c r="I875" s="71" t="s">
        <v>139</v>
      </c>
      <c r="R875" s="71">
        <v>803</v>
      </c>
      <c r="T875" s="72">
        <v>16.239999999999998</v>
      </c>
      <c r="U875" s="71" t="s">
        <v>139</v>
      </c>
    </row>
    <row r="876" spans="1:21" x14ac:dyDescent="0.55000000000000004">
      <c r="A876" s="71">
        <v>984</v>
      </c>
      <c r="C876" s="73">
        <v>18.39</v>
      </c>
      <c r="F876" s="71">
        <v>803</v>
      </c>
      <c r="H876" s="72">
        <v>16.760000000000002</v>
      </c>
      <c r="I876" s="71" t="s">
        <v>139</v>
      </c>
      <c r="R876" s="71">
        <v>803</v>
      </c>
      <c r="T876" s="72">
        <v>16.760000000000002</v>
      </c>
      <c r="U876" s="71" t="s">
        <v>139</v>
      </c>
    </row>
    <row r="877" spans="1:21" x14ac:dyDescent="0.55000000000000004">
      <c r="A877" s="71">
        <v>560</v>
      </c>
      <c r="C877" s="73">
        <v>18.399999999999999</v>
      </c>
      <c r="F877" s="71">
        <v>814</v>
      </c>
      <c r="H877" s="72">
        <v>16</v>
      </c>
      <c r="I877" s="71" t="s">
        <v>139</v>
      </c>
      <c r="R877" s="71">
        <v>814</v>
      </c>
      <c r="T877" s="72">
        <v>16</v>
      </c>
      <c r="U877" s="71" t="s">
        <v>139</v>
      </c>
    </row>
    <row r="878" spans="1:21" x14ac:dyDescent="0.55000000000000004">
      <c r="A878" s="71">
        <v>351</v>
      </c>
      <c r="C878" s="73">
        <v>18.440000000000001</v>
      </c>
      <c r="F878" s="71">
        <v>814</v>
      </c>
      <c r="H878" s="72">
        <v>16</v>
      </c>
      <c r="I878" s="71" t="s">
        <v>139</v>
      </c>
      <c r="R878" s="71">
        <v>814</v>
      </c>
      <c r="T878" s="72">
        <v>16</v>
      </c>
      <c r="U878" s="71" t="s">
        <v>139</v>
      </c>
    </row>
    <row r="879" spans="1:21" x14ac:dyDescent="0.55000000000000004">
      <c r="A879" s="71">
        <v>535</v>
      </c>
      <c r="C879" s="73">
        <v>18.440000000000001</v>
      </c>
      <c r="F879" s="71">
        <v>814</v>
      </c>
      <c r="H879" s="72">
        <v>16</v>
      </c>
      <c r="I879" s="71" t="s">
        <v>139</v>
      </c>
      <c r="R879" s="71">
        <v>814</v>
      </c>
      <c r="T879" s="72">
        <v>16</v>
      </c>
      <c r="U879" s="71" t="s">
        <v>139</v>
      </c>
    </row>
    <row r="880" spans="1:21" x14ac:dyDescent="0.55000000000000004">
      <c r="A880" s="71">
        <v>814</v>
      </c>
      <c r="C880" s="73">
        <v>18.45</v>
      </c>
      <c r="F880" s="71">
        <v>814</v>
      </c>
      <c r="H880" s="72">
        <v>16</v>
      </c>
      <c r="I880" s="71" t="s">
        <v>139</v>
      </c>
      <c r="R880" s="71">
        <v>814</v>
      </c>
      <c r="T880" s="72">
        <v>16</v>
      </c>
      <c r="U880" s="71" t="s">
        <v>139</v>
      </c>
    </row>
    <row r="881" spans="1:21" x14ac:dyDescent="0.55000000000000004">
      <c r="A881" s="71">
        <v>814</v>
      </c>
      <c r="C881" s="73">
        <v>18.45</v>
      </c>
      <c r="F881" s="71">
        <v>814</v>
      </c>
      <c r="H881" s="72">
        <v>16</v>
      </c>
      <c r="I881" s="71" t="s">
        <v>139</v>
      </c>
      <c r="R881" s="71">
        <v>814</v>
      </c>
      <c r="T881" s="72">
        <v>16</v>
      </c>
      <c r="U881" s="71" t="s">
        <v>139</v>
      </c>
    </row>
    <row r="882" spans="1:21" x14ac:dyDescent="0.55000000000000004">
      <c r="A882" s="71">
        <v>814</v>
      </c>
      <c r="C882" s="73">
        <v>18.45</v>
      </c>
      <c r="F882" s="71">
        <v>814</v>
      </c>
      <c r="H882" s="72">
        <v>16</v>
      </c>
      <c r="I882" s="71" t="s">
        <v>139</v>
      </c>
      <c r="R882" s="71">
        <v>814</v>
      </c>
      <c r="T882" s="72">
        <v>16</v>
      </c>
      <c r="U882" s="71" t="s">
        <v>139</v>
      </c>
    </row>
    <row r="883" spans="1:21" x14ac:dyDescent="0.55000000000000004">
      <c r="A883" s="71">
        <v>380</v>
      </c>
      <c r="C883" s="73">
        <v>18.45</v>
      </c>
      <c r="F883" s="71">
        <v>814</v>
      </c>
      <c r="H883" s="72">
        <v>16</v>
      </c>
      <c r="I883" s="71" t="s">
        <v>139</v>
      </c>
      <c r="R883" s="71">
        <v>814</v>
      </c>
      <c r="T883" s="72">
        <v>16</v>
      </c>
      <c r="U883" s="71" t="s">
        <v>139</v>
      </c>
    </row>
    <row r="884" spans="1:21" x14ac:dyDescent="0.55000000000000004">
      <c r="A884" s="71">
        <v>606</v>
      </c>
      <c r="C884" s="73">
        <v>18.45</v>
      </c>
      <c r="F884" s="71">
        <v>814</v>
      </c>
      <c r="H884" s="72">
        <v>16</v>
      </c>
      <c r="I884" s="71" t="s">
        <v>139</v>
      </c>
      <c r="R884" s="71">
        <v>814</v>
      </c>
      <c r="T884" s="72">
        <v>16</v>
      </c>
      <c r="U884" s="71" t="s">
        <v>139</v>
      </c>
    </row>
    <row r="885" spans="1:21" x14ac:dyDescent="0.55000000000000004">
      <c r="A885" s="71">
        <v>173</v>
      </c>
      <c r="C885" s="73">
        <v>18.45</v>
      </c>
      <c r="F885" s="71">
        <v>814</v>
      </c>
      <c r="H885" s="72">
        <v>16</v>
      </c>
      <c r="I885" s="71" t="s">
        <v>139</v>
      </c>
      <c r="R885" s="71">
        <v>814</v>
      </c>
      <c r="T885" s="72">
        <v>16</v>
      </c>
      <c r="U885" s="71" t="s">
        <v>139</v>
      </c>
    </row>
    <row r="886" spans="1:21" x14ac:dyDescent="0.55000000000000004">
      <c r="A886" s="71">
        <v>173</v>
      </c>
      <c r="C886" s="73">
        <v>18.45</v>
      </c>
      <c r="F886" s="71">
        <v>814</v>
      </c>
      <c r="H886" s="72">
        <v>16</v>
      </c>
      <c r="I886" s="71" t="s">
        <v>139</v>
      </c>
      <c r="R886" s="71">
        <v>814</v>
      </c>
      <c r="T886" s="72">
        <v>16</v>
      </c>
      <c r="U886" s="71" t="s">
        <v>139</v>
      </c>
    </row>
    <row r="887" spans="1:21" x14ac:dyDescent="0.55000000000000004">
      <c r="A887" s="71">
        <v>145</v>
      </c>
      <c r="C887" s="73">
        <v>18.46</v>
      </c>
      <c r="F887" s="71">
        <v>814</v>
      </c>
      <c r="H887" s="72">
        <v>16.25</v>
      </c>
      <c r="I887" s="71" t="s">
        <v>139</v>
      </c>
      <c r="R887" s="71">
        <v>814</v>
      </c>
      <c r="T887" s="72">
        <v>16.25</v>
      </c>
      <c r="U887" s="71" t="s">
        <v>139</v>
      </c>
    </row>
    <row r="888" spans="1:21" x14ac:dyDescent="0.55000000000000004">
      <c r="A888" s="71">
        <v>555</v>
      </c>
      <c r="C888" s="73">
        <v>18.47</v>
      </c>
      <c r="F888" s="71">
        <v>814</v>
      </c>
      <c r="H888" s="72">
        <v>18.45</v>
      </c>
      <c r="I888" s="71" t="s">
        <v>139</v>
      </c>
      <c r="R888" s="71">
        <v>814</v>
      </c>
      <c r="T888" s="72">
        <v>18.45</v>
      </c>
      <c r="U888" s="71" t="s">
        <v>139</v>
      </c>
    </row>
    <row r="889" spans="1:21" x14ac:dyDescent="0.55000000000000004">
      <c r="A889" s="71">
        <v>268</v>
      </c>
      <c r="C889" s="73">
        <v>18.48</v>
      </c>
      <c r="F889" s="71">
        <v>814</v>
      </c>
      <c r="H889" s="72">
        <v>18.45</v>
      </c>
      <c r="I889" s="71" t="s">
        <v>139</v>
      </c>
      <c r="R889" s="71">
        <v>814</v>
      </c>
      <c r="T889" s="72">
        <v>18.45</v>
      </c>
      <c r="U889" s="71" t="s">
        <v>139</v>
      </c>
    </row>
    <row r="890" spans="1:21" x14ac:dyDescent="0.55000000000000004">
      <c r="A890" s="71">
        <v>183</v>
      </c>
      <c r="C890" s="73">
        <v>18.5</v>
      </c>
      <c r="F890" s="71">
        <v>814</v>
      </c>
      <c r="H890" s="72">
        <v>18.45</v>
      </c>
      <c r="I890" s="71" t="s">
        <v>139</v>
      </c>
      <c r="R890" s="71">
        <v>814</v>
      </c>
      <c r="T890" s="72">
        <v>18.45</v>
      </c>
      <c r="U890" s="71" t="s">
        <v>139</v>
      </c>
    </row>
    <row r="891" spans="1:21" x14ac:dyDescent="0.55000000000000004">
      <c r="A891" s="71">
        <v>690</v>
      </c>
      <c r="C891" s="73">
        <v>18.5</v>
      </c>
      <c r="D891" s="73">
        <v>21.75</v>
      </c>
      <c r="F891" s="71">
        <v>824</v>
      </c>
      <c r="H891" s="72">
        <v>13.47</v>
      </c>
      <c r="I891" s="71" t="s">
        <v>139</v>
      </c>
      <c r="R891" s="71">
        <v>824</v>
      </c>
      <c r="T891" s="72">
        <v>13.47</v>
      </c>
      <c r="U891" s="71" t="s">
        <v>139</v>
      </c>
    </row>
    <row r="892" spans="1:21" x14ac:dyDescent="0.55000000000000004">
      <c r="A892" s="71">
        <v>690</v>
      </c>
      <c r="C892" s="73">
        <v>18.5</v>
      </c>
      <c r="F892" s="71">
        <v>824</v>
      </c>
      <c r="H892" s="72">
        <v>13.47</v>
      </c>
      <c r="I892" s="71" t="s">
        <v>139</v>
      </c>
      <c r="R892" s="71">
        <v>824</v>
      </c>
      <c r="T892" s="72">
        <v>13.47</v>
      </c>
      <c r="U892" s="71" t="s">
        <v>139</v>
      </c>
    </row>
    <row r="893" spans="1:21" x14ac:dyDescent="0.55000000000000004">
      <c r="A893" s="71">
        <v>145</v>
      </c>
      <c r="C893" s="73">
        <v>18.5</v>
      </c>
      <c r="F893" s="71">
        <v>824</v>
      </c>
      <c r="H893" s="72">
        <v>13.47</v>
      </c>
      <c r="I893" s="71" t="s">
        <v>139</v>
      </c>
      <c r="R893" s="71">
        <v>824</v>
      </c>
      <c r="T893" s="72">
        <v>13.47</v>
      </c>
      <c r="U893" s="71" t="s">
        <v>139</v>
      </c>
    </row>
    <row r="894" spans="1:21" x14ac:dyDescent="0.55000000000000004">
      <c r="A894" s="71">
        <v>560</v>
      </c>
      <c r="C894" s="73">
        <v>18.5</v>
      </c>
      <c r="F894" s="71">
        <v>824</v>
      </c>
      <c r="H894" s="72">
        <v>14.06</v>
      </c>
      <c r="I894" s="71" t="s">
        <v>139</v>
      </c>
      <c r="R894" s="71">
        <v>824</v>
      </c>
      <c r="T894" s="72">
        <v>14.06</v>
      </c>
      <c r="U894" s="71" t="s">
        <v>139</v>
      </c>
    </row>
    <row r="895" spans="1:21" x14ac:dyDescent="0.55000000000000004">
      <c r="A895" s="71">
        <v>563</v>
      </c>
      <c r="C895" s="73">
        <v>18.5</v>
      </c>
      <c r="F895" s="71">
        <v>824</v>
      </c>
      <c r="H895" s="72">
        <v>14.06</v>
      </c>
      <c r="I895" s="71" t="s">
        <v>139</v>
      </c>
      <c r="R895" s="71">
        <v>824</v>
      </c>
      <c r="T895" s="72">
        <v>14.06</v>
      </c>
      <c r="U895" s="71" t="s">
        <v>139</v>
      </c>
    </row>
    <row r="896" spans="1:21" x14ac:dyDescent="0.55000000000000004">
      <c r="A896" s="71">
        <v>383</v>
      </c>
      <c r="C896" s="75">
        <v>18.5</v>
      </c>
      <c r="D896" s="75"/>
      <c r="F896" s="71">
        <v>824</v>
      </c>
      <c r="H896" s="72">
        <v>14.06</v>
      </c>
      <c r="I896" s="71" t="s">
        <v>139</v>
      </c>
      <c r="R896" s="71">
        <v>824</v>
      </c>
      <c r="T896" s="72">
        <v>14.06</v>
      </c>
      <c r="U896" s="71" t="s">
        <v>139</v>
      </c>
    </row>
    <row r="897" spans="1:21" x14ac:dyDescent="0.55000000000000004">
      <c r="A897" s="71">
        <v>883</v>
      </c>
      <c r="C897" s="73">
        <v>18.55</v>
      </c>
      <c r="F897" s="71">
        <v>824</v>
      </c>
      <c r="H897" s="72">
        <v>14.64</v>
      </c>
      <c r="I897" s="71" t="s">
        <v>139</v>
      </c>
      <c r="R897" s="71">
        <v>824</v>
      </c>
      <c r="T897" s="72">
        <v>14.64</v>
      </c>
      <c r="U897" s="71" t="s">
        <v>139</v>
      </c>
    </row>
    <row r="898" spans="1:21" x14ac:dyDescent="0.55000000000000004">
      <c r="A898" s="71">
        <v>506</v>
      </c>
      <c r="C898" s="73">
        <v>18.59</v>
      </c>
      <c r="F898" s="71">
        <v>824</v>
      </c>
      <c r="H898" s="72">
        <v>14.64</v>
      </c>
      <c r="I898" s="71" t="s">
        <v>139</v>
      </c>
      <c r="R898" s="71">
        <v>824</v>
      </c>
      <c r="T898" s="72">
        <v>14.64</v>
      </c>
      <c r="U898" s="71" t="s">
        <v>139</v>
      </c>
    </row>
    <row r="899" spans="1:21" x14ac:dyDescent="0.55000000000000004">
      <c r="A899" s="71">
        <v>646</v>
      </c>
      <c r="C899" s="73">
        <v>18.62</v>
      </c>
      <c r="F899" s="71">
        <v>824</v>
      </c>
      <c r="H899" s="72">
        <v>14.92</v>
      </c>
      <c r="I899" s="71" t="s">
        <v>139</v>
      </c>
      <c r="R899" s="71">
        <v>824</v>
      </c>
      <c r="T899" s="72">
        <v>14.92</v>
      </c>
      <c r="U899" s="71" t="s">
        <v>139</v>
      </c>
    </row>
    <row r="900" spans="1:21" x14ac:dyDescent="0.55000000000000004">
      <c r="A900" s="71">
        <v>646</v>
      </c>
      <c r="C900" s="73">
        <v>18.62</v>
      </c>
      <c r="F900" s="71">
        <v>824</v>
      </c>
      <c r="H900" s="72">
        <v>15.21</v>
      </c>
      <c r="I900" s="71" t="s">
        <v>139</v>
      </c>
      <c r="R900" s="71">
        <v>824</v>
      </c>
      <c r="T900" s="72">
        <v>15.21</v>
      </c>
      <c r="U900" s="71" t="s">
        <v>139</v>
      </c>
    </row>
    <row r="901" spans="1:21" x14ac:dyDescent="0.55000000000000004">
      <c r="A901" s="71">
        <v>646</v>
      </c>
      <c r="C901" s="73">
        <v>18.62</v>
      </c>
      <c r="F901" s="71">
        <v>824</v>
      </c>
      <c r="H901" s="72">
        <v>15.21</v>
      </c>
      <c r="I901" s="71" t="s">
        <v>139</v>
      </c>
      <c r="R901" s="71">
        <v>824</v>
      </c>
      <c r="T901" s="72">
        <v>15.21</v>
      </c>
      <c r="U901" s="71" t="s">
        <v>139</v>
      </c>
    </row>
    <row r="902" spans="1:21" x14ac:dyDescent="0.55000000000000004">
      <c r="A902" s="71">
        <v>183</v>
      </c>
      <c r="C902" s="73">
        <v>18.64</v>
      </c>
      <c r="F902" s="71">
        <v>824</v>
      </c>
      <c r="H902" s="72">
        <v>15.31</v>
      </c>
      <c r="I902" s="71" t="s">
        <v>139</v>
      </c>
      <c r="R902" s="71">
        <v>824</v>
      </c>
      <c r="T902" s="72">
        <v>15.31</v>
      </c>
      <c r="U902" s="71" t="s">
        <v>139</v>
      </c>
    </row>
    <row r="903" spans="1:21" x14ac:dyDescent="0.55000000000000004">
      <c r="A903" s="71">
        <v>575</v>
      </c>
      <c r="C903" s="73">
        <v>18.64</v>
      </c>
      <c r="F903" s="71">
        <v>824</v>
      </c>
      <c r="H903" s="72">
        <v>15.31</v>
      </c>
      <c r="I903" s="71" t="s">
        <v>139</v>
      </c>
      <c r="R903" s="71">
        <v>824</v>
      </c>
      <c r="T903" s="72">
        <v>15.31</v>
      </c>
      <c r="U903" s="71" t="s">
        <v>139</v>
      </c>
    </row>
    <row r="904" spans="1:21" x14ac:dyDescent="0.55000000000000004">
      <c r="A904" s="71">
        <v>718</v>
      </c>
      <c r="C904" s="73">
        <v>18.66</v>
      </c>
      <c r="F904" s="71">
        <v>824</v>
      </c>
      <c r="H904" s="72">
        <v>19.63</v>
      </c>
      <c r="I904" s="71" t="s">
        <v>139</v>
      </c>
      <c r="R904" s="71">
        <v>824</v>
      </c>
      <c r="T904" s="72">
        <v>19.63</v>
      </c>
      <c r="U904" s="71" t="s">
        <v>139</v>
      </c>
    </row>
    <row r="905" spans="1:21" x14ac:dyDescent="0.55000000000000004">
      <c r="A905" s="71">
        <v>263</v>
      </c>
      <c r="C905" s="73">
        <v>18.72</v>
      </c>
      <c r="D905" s="73">
        <v>16.22</v>
      </c>
      <c r="F905" s="71">
        <v>826</v>
      </c>
      <c r="H905" s="72">
        <v>14</v>
      </c>
      <c r="I905" s="71" t="s">
        <v>139</v>
      </c>
      <c r="R905" s="71">
        <v>826</v>
      </c>
      <c r="T905" s="72">
        <v>14</v>
      </c>
      <c r="U905" s="71" t="s">
        <v>139</v>
      </c>
    </row>
    <row r="906" spans="1:21" x14ac:dyDescent="0.55000000000000004">
      <c r="A906" s="71">
        <v>263</v>
      </c>
      <c r="C906" s="73">
        <v>18.72</v>
      </c>
      <c r="D906" s="73">
        <v>17.25</v>
      </c>
      <c r="F906" s="71">
        <v>826</v>
      </c>
      <c r="H906" s="72">
        <v>16.39</v>
      </c>
      <c r="I906" s="71" t="s">
        <v>139</v>
      </c>
      <c r="R906" s="71">
        <v>826</v>
      </c>
      <c r="T906" s="72">
        <v>16.39</v>
      </c>
      <c r="U906" s="71" t="s">
        <v>139</v>
      </c>
    </row>
    <row r="907" spans="1:21" x14ac:dyDescent="0.55000000000000004">
      <c r="A907" s="71">
        <v>263</v>
      </c>
      <c r="C907" s="73">
        <v>18.72</v>
      </c>
      <c r="D907" s="73">
        <v>21.54</v>
      </c>
      <c r="F907" s="71">
        <v>826</v>
      </c>
      <c r="H907" s="72">
        <v>16.690000000000001</v>
      </c>
      <c r="I907" s="71" t="s">
        <v>139</v>
      </c>
      <c r="R907" s="71">
        <v>826</v>
      </c>
      <c r="T907" s="72">
        <v>16.690000000000001</v>
      </c>
      <c r="U907" s="71" t="s">
        <v>139</v>
      </c>
    </row>
    <row r="908" spans="1:21" x14ac:dyDescent="0.55000000000000004">
      <c r="A908" s="71">
        <v>263</v>
      </c>
      <c r="C908" s="73">
        <v>18.72</v>
      </c>
      <c r="F908" s="71">
        <v>852</v>
      </c>
      <c r="H908" s="72">
        <v>15</v>
      </c>
      <c r="I908" s="71" t="s">
        <v>139</v>
      </c>
      <c r="R908" s="71">
        <v>852</v>
      </c>
      <c r="T908" s="72">
        <v>15</v>
      </c>
      <c r="U908" s="71" t="s">
        <v>139</v>
      </c>
    </row>
    <row r="909" spans="1:21" x14ac:dyDescent="0.55000000000000004">
      <c r="A909" s="71">
        <v>783</v>
      </c>
      <c r="C909" s="73">
        <v>18.73</v>
      </c>
      <c r="F909" s="71">
        <v>852</v>
      </c>
      <c r="H909" s="72">
        <v>15</v>
      </c>
      <c r="I909" s="71" t="s">
        <v>139</v>
      </c>
      <c r="R909" s="71">
        <v>852</v>
      </c>
      <c r="T909" s="72">
        <v>15</v>
      </c>
      <c r="U909" s="71" t="s">
        <v>139</v>
      </c>
    </row>
    <row r="910" spans="1:21" x14ac:dyDescent="0.55000000000000004">
      <c r="A910" s="71">
        <v>718</v>
      </c>
      <c r="C910" s="73">
        <v>18.739999999999998</v>
      </c>
      <c r="F910" s="71">
        <v>852</v>
      </c>
      <c r="H910" s="72">
        <v>15</v>
      </c>
      <c r="I910" s="71" t="s">
        <v>139</v>
      </c>
      <c r="R910" s="71">
        <v>852</v>
      </c>
      <c r="T910" s="72">
        <v>15</v>
      </c>
      <c r="U910" s="71" t="s">
        <v>139</v>
      </c>
    </row>
    <row r="911" spans="1:21" x14ac:dyDescent="0.55000000000000004">
      <c r="A911" s="71">
        <v>690</v>
      </c>
      <c r="C911" s="73">
        <v>18.75</v>
      </c>
      <c r="F911" s="71">
        <v>852</v>
      </c>
      <c r="H911" s="72">
        <v>15</v>
      </c>
      <c r="I911" s="71" t="s">
        <v>139</v>
      </c>
      <c r="R911" s="71">
        <v>852</v>
      </c>
      <c r="T911" s="72">
        <v>15</v>
      </c>
      <c r="U911" s="71" t="s">
        <v>139</v>
      </c>
    </row>
    <row r="912" spans="1:21" x14ac:dyDescent="0.55000000000000004">
      <c r="A912" s="71">
        <v>555</v>
      </c>
      <c r="C912" s="73">
        <v>18.82</v>
      </c>
      <c r="F912" s="71">
        <v>852</v>
      </c>
      <c r="H912" s="72">
        <v>15</v>
      </c>
      <c r="I912" s="71" t="s">
        <v>139</v>
      </c>
      <c r="R912" s="71">
        <v>852</v>
      </c>
      <c r="T912" s="72">
        <v>15</v>
      </c>
      <c r="U912" s="71" t="s">
        <v>139</v>
      </c>
    </row>
    <row r="913" spans="1:21" x14ac:dyDescent="0.55000000000000004">
      <c r="A913" s="71">
        <v>555</v>
      </c>
      <c r="C913" s="73">
        <v>18.82</v>
      </c>
      <c r="F913" s="71">
        <v>852</v>
      </c>
      <c r="H913" s="72">
        <v>15</v>
      </c>
      <c r="I913" s="71" t="s">
        <v>139</v>
      </c>
      <c r="R913" s="71">
        <v>852</v>
      </c>
      <c r="T913" s="72">
        <v>15</v>
      </c>
      <c r="U913" s="71" t="s">
        <v>139</v>
      </c>
    </row>
    <row r="914" spans="1:21" x14ac:dyDescent="0.55000000000000004">
      <c r="A914" s="71">
        <v>555</v>
      </c>
      <c r="C914" s="73">
        <v>18.82</v>
      </c>
      <c r="D914" s="73">
        <v>21.92</v>
      </c>
      <c r="F914" s="71">
        <v>852</v>
      </c>
      <c r="H914" s="72">
        <v>15</v>
      </c>
      <c r="I914" s="71" t="s">
        <v>139</v>
      </c>
      <c r="R914" s="71">
        <v>852</v>
      </c>
      <c r="T914" s="72">
        <v>15</v>
      </c>
      <c r="U914" s="71" t="s">
        <v>139</v>
      </c>
    </row>
    <row r="915" spans="1:21" x14ac:dyDescent="0.55000000000000004">
      <c r="A915" s="71">
        <v>336</v>
      </c>
      <c r="C915" s="73">
        <v>18.82</v>
      </c>
      <c r="D915" s="73">
        <v>23.5</v>
      </c>
      <c r="F915" s="71">
        <v>852</v>
      </c>
      <c r="H915" s="72">
        <v>15</v>
      </c>
      <c r="I915" s="71" t="s">
        <v>139</v>
      </c>
      <c r="R915" s="71">
        <v>852</v>
      </c>
      <c r="T915" s="72">
        <v>15</v>
      </c>
      <c r="U915" s="71" t="s">
        <v>139</v>
      </c>
    </row>
    <row r="916" spans="1:21" x14ac:dyDescent="0.55000000000000004">
      <c r="A916" s="71">
        <v>336</v>
      </c>
      <c r="C916" s="73">
        <v>18.82</v>
      </c>
      <c r="D916" s="73">
        <v>23.5</v>
      </c>
      <c r="F916" s="71">
        <v>852</v>
      </c>
      <c r="H916" s="72">
        <v>15</v>
      </c>
      <c r="I916" s="71" t="s">
        <v>139</v>
      </c>
      <c r="R916" s="71">
        <v>852</v>
      </c>
      <c r="T916" s="72">
        <v>15</v>
      </c>
      <c r="U916" s="71" t="s">
        <v>139</v>
      </c>
    </row>
    <row r="917" spans="1:21" x14ac:dyDescent="0.55000000000000004">
      <c r="A917" s="71">
        <v>984</v>
      </c>
      <c r="C917" s="73">
        <v>18.850000000000001</v>
      </c>
      <c r="D917" s="73">
        <v>17.93</v>
      </c>
      <c r="F917" s="71">
        <v>852</v>
      </c>
      <c r="H917" s="72">
        <v>15.1</v>
      </c>
      <c r="I917" s="71" t="s">
        <v>139</v>
      </c>
      <c r="R917" s="71">
        <v>852</v>
      </c>
      <c r="T917" s="72">
        <v>15.1</v>
      </c>
      <c r="U917" s="71" t="s">
        <v>139</v>
      </c>
    </row>
    <row r="918" spans="1:21" x14ac:dyDescent="0.55000000000000004">
      <c r="A918" s="71">
        <v>318</v>
      </c>
      <c r="C918" s="73">
        <v>18.97</v>
      </c>
      <c r="D918" s="73">
        <v>22.96</v>
      </c>
      <c r="F918" s="71">
        <v>852</v>
      </c>
      <c r="H918" s="72">
        <v>15.1</v>
      </c>
      <c r="I918" s="71" t="s">
        <v>139</v>
      </c>
      <c r="R918" s="71">
        <v>852</v>
      </c>
      <c r="T918" s="72">
        <v>15.1</v>
      </c>
      <c r="U918" s="71" t="s">
        <v>139</v>
      </c>
    </row>
    <row r="919" spans="1:21" x14ac:dyDescent="0.55000000000000004">
      <c r="A919" s="71">
        <v>143</v>
      </c>
      <c r="C919" s="73">
        <v>18.98</v>
      </c>
      <c r="D919" s="73">
        <v>23.5</v>
      </c>
      <c r="F919" s="71">
        <v>852</v>
      </c>
      <c r="H919" s="72">
        <v>15.1</v>
      </c>
      <c r="I919" s="71" t="s">
        <v>139</v>
      </c>
      <c r="R919" s="71">
        <v>852</v>
      </c>
      <c r="T919" s="72">
        <v>15.1</v>
      </c>
      <c r="U919" s="71" t="s">
        <v>139</v>
      </c>
    </row>
    <row r="920" spans="1:21" x14ac:dyDescent="0.55000000000000004">
      <c r="A920" s="71">
        <v>540</v>
      </c>
      <c r="C920" s="73">
        <v>18.98</v>
      </c>
      <c r="D920" s="73">
        <v>17.7</v>
      </c>
      <c r="F920" s="71">
        <v>852</v>
      </c>
      <c r="H920" s="72">
        <v>15.5</v>
      </c>
      <c r="I920" s="71" t="s">
        <v>139</v>
      </c>
      <c r="R920" s="71">
        <v>852</v>
      </c>
      <c r="T920" s="72">
        <v>15.5</v>
      </c>
      <c r="U920" s="71" t="s">
        <v>139</v>
      </c>
    </row>
    <row r="921" spans="1:21" x14ac:dyDescent="0.55000000000000004">
      <c r="A921" s="71">
        <v>540</v>
      </c>
      <c r="C921" s="73">
        <v>18.98</v>
      </c>
      <c r="D921" s="73">
        <v>18.010000000000002</v>
      </c>
      <c r="F921" s="71">
        <v>852</v>
      </c>
      <c r="H921" s="72">
        <v>15.8</v>
      </c>
      <c r="I921" s="71" t="s">
        <v>139</v>
      </c>
      <c r="R921" s="71">
        <v>852</v>
      </c>
      <c r="T921" s="72">
        <v>15.8</v>
      </c>
      <c r="U921" s="71" t="s">
        <v>139</v>
      </c>
    </row>
    <row r="922" spans="1:21" x14ac:dyDescent="0.55000000000000004">
      <c r="A922" s="71">
        <v>776</v>
      </c>
      <c r="C922" s="73">
        <v>19</v>
      </c>
      <c r="D922" s="73">
        <v>21.92</v>
      </c>
      <c r="F922" s="71">
        <v>861</v>
      </c>
      <c r="H922" s="72">
        <v>15.64</v>
      </c>
      <c r="I922" s="71" t="s">
        <v>139</v>
      </c>
      <c r="R922" s="71">
        <v>861</v>
      </c>
      <c r="T922" s="72">
        <v>15.64</v>
      </c>
      <c r="U922" s="71" t="s">
        <v>139</v>
      </c>
    </row>
    <row r="923" spans="1:21" x14ac:dyDescent="0.55000000000000004">
      <c r="A923" s="71">
        <v>658</v>
      </c>
      <c r="C923" s="73">
        <v>19</v>
      </c>
      <c r="D923" s="73">
        <v>21.92</v>
      </c>
      <c r="F923" s="71">
        <v>861</v>
      </c>
      <c r="H923" s="72">
        <v>15.85</v>
      </c>
      <c r="I923" s="71" t="s">
        <v>139</v>
      </c>
      <c r="R923" s="71">
        <v>861</v>
      </c>
      <c r="T923" s="72">
        <v>15.85</v>
      </c>
      <c r="U923" s="71" t="s">
        <v>139</v>
      </c>
    </row>
    <row r="924" spans="1:21" x14ac:dyDescent="0.55000000000000004">
      <c r="A924" s="71">
        <v>383</v>
      </c>
      <c r="C924" s="75">
        <v>19</v>
      </c>
      <c r="D924" s="75"/>
      <c r="F924" s="71">
        <v>861</v>
      </c>
      <c r="H924" s="72">
        <v>15.85</v>
      </c>
      <c r="I924" s="71" t="s">
        <v>139</v>
      </c>
      <c r="R924" s="71">
        <v>861</v>
      </c>
      <c r="T924" s="72">
        <v>15.85</v>
      </c>
      <c r="U924" s="71" t="s">
        <v>139</v>
      </c>
    </row>
    <row r="925" spans="1:21" x14ac:dyDescent="0.55000000000000004">
      <c r="A925" s="71">
        <v>183</v>
      </c>
      <c r="C925" s="73">
        <v>19.03</v>
      </c>
      <c r="F925" s="71">
        <v>861</v>
      </c>
      <c r="H925" s="72">
        <v>15.85</v>
      </c>
      <c r="I925" s="71" t="s">
        <v>139</v>
      </c>
      <c r="R925" s="71">
        <v>861</v>
      </c>
      <c r="T925" s="72">
        <v>15.85</v>
      </c>
      <c r="U925" s="71" t="s">
        <v>139</v>
      </c>
    </row>
    <row r="926" spans="1:21" x14ac:dyDescent="0.55000000000000004">
      <c r="A926" s="71">
        <v>550</v>
      </c>
      <c r="C926" s="73">
        <v>19.04</v>
      </c>
      <c r="F926" s="71">
        <v>861</v>
      </c>
      <c r="H926" s="72">
        <v>15.85</v>
      </c>
      <c r="I926" s="71" t="s">
        <v>139</v>
      </c>
      <c r="R926" s="71">
        <v>861</v>
      </c>
      <c r="T926" s="72">
        <v>15.85</v>
      </c>
      <c r="U926" s="71" t="s">
        <v>139</v>
      </c>
    </row>
    <row r="927" spans="1:21" x14ac:dyDescent="0.55000000000000004">
      <c r="A927" s="71">
        <v>540</v>
      </c>
      <c r="C927" s="73">
        <v>19.059999999999999</v>
      </c>
      <c r="F927" s="71">
        <v>861</v>
      </c>
      <c r="H927" s="72">
        <v>15.85</v>
      </c>
      <c r="I927" s="71" t="s">
        <v>139</v>
      </c>
      <c r="R927" s="71">
        <v>861</v>
      </c>
      <c r="T927" s="72">
        <v>15.85</v>
      </c>
      <c r="U927" s="71" t="s">
        <v>139</v>
      </c>
    </row>
    <row r="928" spans="1:21" x14ac:dyDescent="0.55000000000000004">
      <c r="A928" s="71">
        <v>718</v>
      </c>
      <c r="C928" s="73">
        <v>19.100000000000001</v>
      </c>
      <c r="F928" s="71">
        <v>861</v>
      </c>
      <c r="H928" s="72">
        <v>17.03</v>
      </c>
      <c r="I928" s="71" t="s">
        <v>139</v>
      </c>
      <c r="R928" s="71">
        <v>861</v>
      </c>
      <c r="T928" s="72">
        <v>17.03</v>
      </c>
      <c r="U928" s="71" t="s">
        <v>139</v>
      </c>
    </row>
    <row r="929" spans="1:21" x14ac:dyDescent="0.55000000000000004">
      <c r="A929" s="71">
        <v>718</v>
      </c>
      <c r="C929" s="73">
        <v>19.100000000000001</v>
      </c>
      <c r="F929" s="71">
        <v>861</v>
      </c>
      <c r="H929" s="72">
        <v>17.690000000000001</v>
      </c>
      <c r="I929" s="71" t="s">
        <v>139</v>
      </c>
      <c r="R929" s="71">
        <v>861</v>
      </c>
      <c r="T929" s="72">
        <v>17.690000000000001</v>
      </c>
      <c r="U929" s="71" t="s">
        <v>139</v>
      </c>
    </row>
    <row r="930" spans="1:21" x14ac:dyDescent="0.55000000000000004">
      <c r="A930" s="71">
        <v>506</v>
      </c>
      <c r="C930" s="73">
        <v>19.12</v>
      </c>
      <c r="F930" s="71">
        <v>861</v>
      </c>
      <c r="H930" s="72">
        <v>17.690000000000001</v>
      </c>
      <c r="I930" s="71" t="s">
        <v>139</v>
      </c>
      <c r="R930" s="71">
        <v>861</v>
      </c>
      <c r="T930" s="72">
        <v>17.690000000000001</v>
      </c>
      <c r="U930" s="71" t="s">
        <v>139</v>
      </c>
    </row>
    <row r="931" spans="1:21" x14ac:dyDescent="0.55000000000000004">
      <c r="A931" s="71">
        <v>718</v>
      </c>
      <c r="C931" s="73">
        <v>19.13</v>
      </c>
      <c r="F931" s="71">
        <v>861</v>
      </c>
      <c r="H931" s="72">
        <v>17.690000000000001</v>
      </c>
      <c r="I931" s="71" t="s">
        <v>139</v>
      </c>
      <c r="R931" s="71">
        <v>861</v>
      </c>
      <c r="T931" s="72">
        <v>17.690000000000001</v>
      </c>
      <c r="U931" s="71" t="s">
        <v>139</v>
      </c>
    </row>
    <row r="932" spans="1:21" x14ac:dyDescent="0.55000000000000004">
      <c r="A932" s="71">
        <v>178</v>
      </c>
      <c r="C932" s="73">
        <v>19.149999999999999</v>
      </c>
      <c r="F932" s="71">
        <v>861</v>
      </c>
      <c r="H932" s="72">
        <v>17.690000000000001</v>
      </c>
      <c r="I932" s="71" t="s">
        <v>139</v>
      </c>
      <c r="R932" s="71">
        <v>861</v>
      </c>
      <c r="T932" s="72">
        <v>17.690000000000001</v>
      </c>
      <c r="U932" s="71" t="s">
        <v>139</v>
      </c>
    </row>
    <row r="933" spans="1:21" x14ac:dyDescent="0.55000000000000004">
      <c r="A933" s="71">
        <v>178</v>
      </c>
      <c r="C933" s="73">
        <v>19.149999999999999</v>
      </c>
      <c r="F933" s="71">
        <v>861</v>
      </c>
      <c r="H933" s="72">
        <v>17.690000000000001</v>
      </c>
      <c r="I933" s="71" t="s">
        <v>139</v>
      </c>
      <c r="R933" s="71">
        <v>861</v>
      </c>
      <c r="T933" s="72">
        <v>17.690000000000001</v>
      </c>
      <c r="U933" s="71" t="s">
        <v>139</v>
      </c>
    </row>
    <row r="934" spans="1:21" x14ac:dyDescent="0.55000000000000004">
      <c r="A934" s="71">
        <v>718</v>
      </c>
      <c r="C934" s="73">
        <v>19.149999999999999</v>
      </c>
      <c r="F934" s="71">
        <v>861</v>
      </c>
      <c r="H934" s="72">
        <v>17.690000000000001</v>
      </c>
      <c r="I934" s="71" t="s">
        <v>139</v>
      </c>
      <c r="R934" s="71">
        <v>861</v>
      </c>
      <c r="T934" s="72">
        <v>17.690000000000001</v>
      </c>
      <c r="U934" s="71" t="s">
        <v>139</v>
      </c>
    </row>
    <row r="935" spans="1:21" x14ac:dyDescent="0.55000000000000004">
      <c r="A935" s="71">
        <v>500</v>
      </c>
      <c r="C935" s="75">
        <v>19.170000000000002</v>
      </c>
      <c r="D935" s="75"/>
      <c r="F935" s="71">
        <v>883</v>
      </c>
      <c r="H935" s="72">
        <v>15.85</v>
      </c>
      <c r="I935" s="71" t="s">
        <v>139</v>
      </c>
      <c r="R935" s="71">
        <v>883</v>
      </c>
      <c r="T935" s="72">
        <v>15.85</v>
      </c>
      <c r="U935" s="71" t="s">
        <v>139</v>
      </c>
    </row>
    <row r="936" spans="1:21" x14ac:dyDescent="0.55000000000000004">
      <c r="A936" s="71">
        <v>318</v>
      </c>
      <c r="C936" s="73">
        <v>19.18</v>
      </c>
      <c r="F936" s="71">
        <v>883</v>
      </c>
      <c r="H936" s="72">
        <v>17.350000000000001</v>
      </c>
      <c r="I936" s="71" t="s">
        <v>139</v>
      </c>
      <c r="R936" s="71">
        <v>883</v>
      </c>
      <c r="T936" s="72">
        <v>17.350000000000001</v>
      </c>
      <c r="U936" s="71" t="s">
        <v>139</v>
      </c>
    </row>
    <row r="937" spans="1:21" x14ac:dyDescent="0.55000000000000004">
      <c r="A937" s="71">
        <v>555</v>
      </c>
      <c r="C937" s="73">
        <v>19.22</v>
      </c>
      <c r="F937" s="71">
        <v>883</v>
      </c>
      <c r="H937" s="72">
        <v>18.38</v>
      </c>
      <c r="I937" s="71" t="s">
        <v>139</v>
      </c>
      <c r="R937" s="71">
        <v>883</v>
      </c>
      <c r="T937" s="72">
        <v>18.38</v>
      </c>
      <c r="U937" s="71" t="s">
        <v>139</v>
      </c>
    </row>
    <row r="938" spans="1:21" x14ac:dyDescent="0.55000000000000004">
      <c r="A938" s="71">
        <v>555</v>
      </c>
      <c r="C938" s="73">
        <v>19.23</v>
      </c>
      <c r="F938" s="71">
        <v>883</v>
      </c>
      <c r="H938" s="72">
        <v>18.55</v>
      </c>
      <c r="I938" s="71" t="s">
        <v>139</v>
      </c>
      <c r="R938" s="71">
        <v>883</v>
      </c>
      <c r="T938" s="72">
        <v>18.55</v>
      </c>
      <c r="U938" s="71" t="s">
        <v>139</v>
      </c>
    </row>
    <row r="939" spans="1:21" x14ac:dyDescent="0.55000000000000004">
      <c r="A939" s="71">
        <v>540</v>
      </c>
      <c r="C939" s="73">
        <v>19.27</v>
      </c>
      <c r="F939" s="71">
        <v>883</v>
      </c>
      <c r="H939" s="72">
        <v>20.6</v>
      </c>
      <c r="I939" s="71" t="s">
        <v>139</v>
      </c>
      <c r="R939" s="71">
        <v>883</v>
      </c>
      <c r="T939" s="72">
        <v>20.6</v>
      </c>
      <c r="U939" s="71" t="s">
        <v>139</v>
      </c>
    </row>
    <row r="940" spans="1:21" x14ac:dyDescent="0.55000000000000004">
      <c r="A940" s="71">
        <v>644</v>
      </c>
      <c r="C940" s="73">
        <v>19.32</v>
      </c>
      <c r="F940" s="71">
        <v>883</v>
      </c>
      <c r="H940" s="72">
        <v>25.26</v>
      </c>
      <c r="I940" s="71" t="s">
        <v>139</v>
      </c>
      <c r="R940" s="71">
        <v>883</v>
      </c>
      <c r="T940" s="72">
        <v>25.26</v>
      </c>
      <c r="U940" s="71" t="s">
        <v>139</v>
      </c>
    </row>
    <row r="941" spans="1:21" x14ac:dyDescent="0.55000000000000004">
      <c r="A941" s="71">
        <v>718</v>
      </c>
      <c r="C941" s="73">
        <v>19.350000000000001</v>
      </c>
      <c r="F941" s="71">
        <v>901</v>
      </c>
      <c r="H941" s="72">
        <v>15.38</v>
      </c>
      <c r="I941" s="71" t="s">
        <v>139</v>
      </c>
      <c r="R941" s="71">
        <v>901</v>
      </c>
      <c r="T941" s="72">
        <v>15.38</v>
      </c>
      <c r="U941" s="71" t="s">
        <v>139</v>
      </c>
    </row>
    <row r="942" spans="1:21" x14ac:dyDescent="0.55000000000000004">
      <c r="A942" s="71">
        <v>642</v>
      </c>
      <c r="C942" s="74">
        <v>19.37</v>
      </c>
      <c r="D942" s="74"/>
      <c r="F942" s="71">
        <v>901</v>
      </c>
      <c r="H942" s="72">
        <v>16.72</v>
      </c>
      <c r="I942" s="71" t="s">
        <v>139</v>
      </c>
      <c r="R942" s="71">
        <v>901</v>
      </c>
      <c r="T942" s="72">
        <v>16.72</v>
      </c>
      <c r="U942" s="71" t="s">
        <v>139</v>
      </c>
    </row>
    <row r="943" spans="1:21" x14ac:dyDescent="0.55000000000000004">
      <c r="A943" s="71">
        <v>606</v>
      </c>
      <c r="C943" s="73">
        <v>19.46</v>
      </c>
      <c r="F943" s="71">
        <v>901</v>
      </c>
      <c r="H943" s="72">
        <v>16.72</v>
      </c>
      <c r="I943" s="71" t="s">
        <v>139</v>
      </c>
      <c r="R943" s="71">
        <v>901</v>
      </c>
      <c r="T943" s="72">
        <v>16.72</v>
      </c>
      <c r="U943" s="71" t="s">
        <v>139</v>
      </c>
    </row>
    <row r="944" spans="1:21" x14ac:dyDescent="0.55000000000000004">
      <c r="A944" s="71">
        <v>336</v>
      </c>
      <c r="C944" s="73">
        <v>19.5</v>
      </c>
      <c r="F944" s="71">
        <v>901</v>
      </c>
      <c r="H944" s="72">
        <v>16.72</v>
      </c>
      <c r="I944" s="71" t="s">
        <v>139</v>
      </c>
      <c r="R944" s="71">
        <v>901</v>
      </c>
      <c r="T944" s="72">
        <v>16.72</v>
      </c>
      <c r="U944" s="71" t="s">
        <v>139</v>
      </c>
    </row>
    <row r="945" spans="1:21" x14ac:dyDescent="0.55000000000000004">
      <c r="A945" s="71">
        <v>575</v>
      </c>
      <c r="C945" s="73">
        <v>19.53</v>
      </c>
      <c r="F945" s="71">
        <v>901</v>
      </c>
      <c r="H945" s="72">
        <v>17.97</v>
      </c>
      <c r="I945" s="71" t="s">
        <v>139</v>
      </c>
      <c r="R945" s="71">
        <v>901</v>
      </c>
      <c r="T945" s="72">
        <v>17.97</v>
      </c>
      <c r="U945" s="71" t="s">
        <v>139</v>
      </c>
    </row>
    <row r="946" spans="1:21" x14ac:dyDescent="0.55000000000000004">
      <c r="A946" s="71">
        <v>584</v>
      </c>
      <c r="C946" s="73">
        <v>19.57</v>
      </c>
      <c r="F946" s="71">
        <v>910</v>
      </c>
      <c r="H946" s="72">
        <v>14.249883567342771</v>
      </c>
      <c r="I946" s="71" t="s">
        <v>139</v>
      </c>
      <c r="R946" s="71">
        <v>910</v>
      </c>
      <c r="T946" s="72">
        <v>14.249883567342771</v>
      </c>
      <c r="U946" s="71" t="s">
        <v>139</v>
      </c>
    </row>
    <row r="947" spans="1:21" x14ac:dyDescent="0.55000000000000004">
      <c r="A947" s="71">
        <v>528</v>
      </c>
      <c r="C947" s="73">
        <v>19.61</v>
      </c>
      <c r="F947" s="71">
        <v>910</v>
      </c>
      <c r="H947" s="72">
        <v>14.249940965633565</v>
      </c>
      <c r="I947" s="71" t="s">
        <v>139</v>
      </c>
      <c r="R947" s="71">
        <v>910</v>
      </c>
      <c r="T947" s="72">
        <v>14.249940965633565</v>
      </c>
      <c r="U947" s="71" t="s">
        <v>139</v>
      </c>
    </row>
    <row r="948" spans="1:21" x14ac:dyDescent="0.55000000000000004">
      <c r="A948" s="71">
        <v>145</v>
      </c>
      <c r="C948" s="73">
        <v>19.63</v>
      </c>
      <c r="F948" s="71">
        <v>910</v>
      </c>
      <c r="H948" s="72">
        <v>14.690013059117424</v>
      </c>
      <c r="I948" s="71" t="s">
        <v>139</v>
      </c>
      <c r="R948" s="71">
        <v>910</v>
      </c>
      <c r="T948" s="72">
        <v>14.690013059117424</v>
      </c>
      <c r="U948" s="71" t="s">
        <v>139</v>
      </c>
    </row>
    <row r="949" spans="1:21" x14ac:dyDescent="0.55000000000000004">
      <c r="A949" s="71">
        <v>824</v>
      </c>
      <c r="C949" s="73">
        <v>19.63</v>
      </c>
      <c r="F949" s="71">
        <v>910</v>
      </c>
      <c r="H949" s="72">
        <v>14.690203998307924</v>
      </c>
      <c r="I949" s="71" t="s">
        <v>139</v>
      </c>
      <c r="R949" s="71">
        <v>910</v>
      </c>
      <c r="T949" s="72">
        <v>14.690203998307924</v>
      </c>
      <c r="U949" s="71" t="s">
        <v>139</v>
      </c>
    </row>
    <row r="950" spans="1:21" x14ac:dyDescent="0.55000000000000004">
      <c r="A950" s="71">
        <v>506</v>
      </c>
      <c r="C950" s="73">
        <v>19.64</v>
      </c>
      <c r="F950" s="71">
        <v>910</v>
      </c>
      <c r="H950" s="72">
        <v>15.38032404808459</v>
      </c>
      <c r="I950" s="71" t="s">
        <v>139</v>
      </c>
      <c r="R950" s="71">
        <v>910</v>
      </c>
      <c r="T950" s="72">
        <v>15.38032404808459</v>
      </c>
      <c r="U950" s="71" t="s">
        <v>139</v>
      </c>
    </row>
    <row r="951" spans="1:21" x14ac:dyDescent="0.55000000000000004">
      <c r="A951" s="71">
        <v>910</v>
      </c>
      <c r="C951" s="73">
        <v>19.721104637812754</v>
      </c>
      <c r="F951" s="71">
        <v>910</v>
      </c>
      <c r="H951" s="72">
        <v>15.467674847964718</v>
      </c>
      <c r="I951" s="71" t="s">
        <v>139</v>
      </c>
      <c r="R951" s="71">
        <v>910</v>
      </c>
      <c r="T951" s="72">
        <v>15.467674847964718</v>
      </c>
      <c r="U951" s="71" t="s">
        <v>139</v>
      </c>
    </row>
    <row r="952" spans="1:21" x14ac:dyDescent="0.55000000000000004">
      <c r="A952" s="71">
        <v>145</v>
      </c>
      <c r="C952" s="73">
        <v>19.760000000000002</v>
      </c>
      <c r="F952" s="71">
        <v>910</v>
      </c>
      <c r="H952" s="72">
        <v>15.994930666283611</v>
      </c>
      <c r="I952" s="71" t="s">
        <v>139</v>
      </c>
      <c r="R952" s="71">
        <v>910</v>
      </c>
      <c r="T952" s="72">
        <v>15.994930666283611</v>
      </c>
      <c r="U952" s="71" t="s">
        <v>139</v>
      </c>
    </row>
    <row r="953" spans="1:21" x14ac:dyDescent="0.55000000000000004">
      <c r="A953" s="71">
        <v>173</v>
      </c>
      <c r="C953" s="73">
        <v>19.8</v>
      </c>
      <c r="D953" s="73">
        <v>22.98</v>
      </c>
      <c r="F953" s="71">
        <v>910</v>
      </c>
      <c r="H953" s="72">
        <v>15.99510434913047</v>
      </c>
      <c r="I953" s="71" t="s">
        <v>139</v>
      </c>
      <c r="R953" s="71">
        <v>910</v>
      </c>
      <c r="T953" s="72">
        <v>15.99510434913047</v>
      </c>
      <c r="U953" s="71" t="s">
        <v>139</v>
      </c>
    </row>
    <row r="954" spans="1:21" x14ac:dyDescent="0.55000000000000004">
      <c r="A954" s="71">
        <v>555</v>
      </c>
      <c r="C954" s="73">
        <v>19.87</v>
      </c>
      <c r="D954" s="73">
        <v>23.37</v>
      </c>
      <c r="F954" s="71">
        <v>910</v>
      </c>
      <c r="H954" s="72">
        <v>16</v>
      </c>
      <c r="I954" s="71" t="s">
        <v>139</v>
      </c>
      <c r="R954" s="71">
        <v>910</v>
      </c>
      <c r="T954" s="72">
        <v>16</v>
      </c>
      <c r="U954" s="71" t="s">
        <v>139</v>
      </c>
    </row>
    <row r="955" spans="1:21" x14ac:dyDescent="0.55000000000000004">
      <c r="A955" s="71">
        <v>173</v>
      </c>
      <c r="C955" s="73">
        <v>19.899999999999999</v>
      </c>
      <c r="D955" s="73">
        <v>22.65</v>
      </c>
      <c r="F955" s="71">
        <v>910</v>
      </c>
      <c r="H955" s="72">
        <v>16</v>
      </c>
      <c r="I955" s="71" t="s">
        <v>139</v>
      </c>
      <c r="R955" s="71">
        <v>910</v>
      </c>
      <c r="T955" s="72">
        <v>16</v>
      </c>
      <c r="U955" s="71" t="s">
        <v>139</v>
      </c>
    </row>
    <row r="956" spans="1:21" x14ac:dyDescent="0.55000000000000004">
      <c r="A956" s="71">
        <v>315</v>
      </c>
      <c r="C956" s="73">
        <v>19.899999999999999</v>
      </c>
      <c r="D956" s="73">
        <v>23.37</v>
      </c>
      <c r="F956" s="71">
        <v>910</v>
      </c>
      <c r="H956" s="72">
        <v>16</v>
      </c>
      <c r="I956" s="71" t="s">
        <v>139</v>
      </c>
      <c r="R956" s="71">
        <v>910</v>
      </c>
      <c r="T956" s="72">
        <v>16</v>
      </c>
      <c r="U956" s="71" t="s">
        <v>139</v>
      </c>
    </row>
    <row r="957" spans="1:21" x14ac:dyDescent="0.55000000000000004">
      <c r="A957" s="71">
        <v>380</v>
      </c>
      <c r="C957" s="73">
        <v>19.939999999999998</v>
      </c>
      <c r="D957" s="73">
        <v>17.59</v>
      </c>
      <c r="F957" s="71">
        <v>910</v>
      </c>
      <c r="H957" s="72">
        <v>19.721104637812754</v>
      </c>
      <c r="I957" s="71" t="s">
        <v>139</v>
      </c>
      <c r="R957" s="71">
        <v>910</v>
      </c>
      <c r="T957" s="72">
        <v>19.721104637812754</v>
      </c>
      <c r="U957" s="71" t="s">
        <v>139</v>
      </c>
    </row>
    <row r="958" spans="1:21" x14ac:dyDescent="0.55000000000000004">
      <c r="A958" s="71">
        <v>380</v>
      </c>
      <c r="C958" s="73">
        <v>19.939999999999998</v>
      </c>
      <c r="D958" s="73">
        <v>21.3</v>
      </c>
      <c r="F958" s="71">
        <v>910</v>
      </c>
      <c r="H958" s="72">
        <v>20.552551692809896</v>
      </c>
      <c r="I958" s="71" t="s">
        <v>139</v>
      </c>
      <c r="R958" s="71">
        <v>910</v>
      </c>
      <c r="T958" s="72">
        <v>20.552551692809896</v>
      </c>
      <c r="U958" s="71" t="s">
        <v>139</v>
      </c>
    </row>
    <row r="959" spans="1:21" x14ac:dyDescent="0.55000000000000004">
      <c r="A959" s="71">
        <v>380</v>
      </c>
      <c r="C959" s="73">
        <v>19.939999999999998</v>
      </c>
      <c r="D959" s="73">
        <v>21.8</v>
      </c>
      <c r="F959" s="71">
        <v>926</v>
      </c>
      <c r="H959" s="72">
        <v>16.149999999999999</v>
      </c>
      <c r="I959" s="71" t="s">
        <v>139</v>
      </c>
      <c r="R959" s="71">
        <v>926</v>
      </c>
      <c r="T959" s="72">
        <v>16.149999999999999</v>
      </c>
      <c r="U959" s="71" t="s">
        <v>139</v>
      </c>
    </row>
    <row r="960" spans="1:21" x14ac:dyDescent="0.55000000000000004">
      <c r="A960" s="71">
        <v>205</v>
      </c>
      <c r="C960" s="73">
        <v>20</v>
      </c>
      <c r="F960" s="71">
        <v>926</v>
      </c>
      <c r="H960" s="72">
        <v>16.36</v>
      </c>
      <c r="I960" s="71" t="s">
        <v>139</v>
      </c>
      <c r="R960" s="71">
        <v>926</v>
      </c>
      <c r="T960" s="72">
        <v>16.36</v>
      </c>
      <c r="U960" s="71" t="s">
        <v>139</v>
      </c>
    </row>
    <row r="961" spans="1:21" x14ac:dyDescent="0.55000000000000004">
      <c r="A961" s="71">
        <v>558</v>
      </c>
      <c r="C961" s="74">
        <v>20</v>
      </c>
      <c r="D961" s="74"/>
      <c r="F961" s="71">
        <v>926</v>
      </c>
      <c r="H961" s="72">
        <v>16.47</v>
      </c>
      <c r="I961" s="71" t="s">
        <v>139</v>
      </c>
      <c r="R961" s="71">
        <v>926</v>
      </c>
      <c r="T961" s="72">
        <v>16.47</v>
      </c>
      <c r="U961" s="71" t="s">
        <v>139</v>
      </c>
    </row>
    <row r="962" spans="1:21" x14ac:dyDescent="0.55000000000000004">
      <c r="A962" s="71">
        <v>558</v>
      </c>
      <c r="C962" s="74">
        <v>20</v>
      </c>
      <c r="D962" s="74"/>
      <c r="F962" s="71">
        <v>926</v>
      </c>
      <c r="H962" s="72">
        <v>16.47</v>
      </c>
      <c r="I962" s="71" t="s">
        <v>139</v>
      </c>
      <c r="R962" s="71">
        <v>926</v>
      </c>
      <c r="T962" s="72">
        <v>16.47</v>
      </c>
      <c r="U962" s="71" t="s">
        <v>139</v>
      </c>
    </row>
    <row r="963" spans="1:21" x14ac:dyDescent="0.55000000000000004">
      <c r="A963" s="71">
        <v>336</v>
      </c>
      <c r="C963" s="73">
        <v>20.010000000000002</v>
      </c>
      <c r="F963" s="71">
        <v>926</v>
      </c>
      <c r="H963" s="72">
        <v>17.22</v>
      </c>
      <c r="I963" s="71" t="s">
        <v>139</v>
      </c>
      <c r="R963" s="71">
        <v>926</v>
      </c>
      <c r="T963" s="72">
        <v>17.22</v>
      </c>
      <c r="U963" s="71" t="s">
        <v>139</v>
      </c>
    </row>
    <row r="964" spans="1:21" x14ac:dyDescent="0.55000000000000004">
      <c r="A964" s="71">
        <v>555</v>
      </c>
      <c r="C964" s="73">
        <v>20.02</v>
      </c>
      <c r="F964" s="71">
        <v>928</v>
      </c>
      <c r="H964" s="72">
        <v>10.5</v>
      </c>
      <c r="I964" s="71" t="s">
        <v>139</v>
      </c>
      <c r="R964" s="71">
        <v>928</v>
      </c>
      <c r="T964" s="72">
        <v>10.5</v>
      </c>
      <c r="U964" s="71" t="s">
        <v>139</v>
      </c>
    </row>
    <row r="965" spans="1:21" x14ac:dyDescent="0.55000000000000004">
      <c r="A965" s="71">
        <v>555</v>
      </c>
      <c r="C965" s="73">
        <v>20.02</v>
      </c>
      <c r="F965" s="71">
        <v>928</v>
      </c>
      <c r="H965" s="72">
        <v>11</v>
      </c>
      <c r="I965" s="71" t="s">
        <v>139</v>
      </c>
      <c r="R965" s="71">
        <v>928</v>
      </c>
      <c r="T965" s="72">
        <v>11</v>
      </c>
      <c r="U965" s="71" t="s">
        <v>139</v>
      </c>
    </row>
    <row r="966" spans="1:21" x14ac:dyDescent="0.55000000000000004">
      <c r="A966" s="71">
        <v>555</v>
      </c>
      <c r="C966" s="73">
        <v>20.02</v>
      </c>
      <c r="F966" s="71">
        <v>928</v>
      </c>
      <c r="H966" s="72">
        <v>11</v>
      </c>
      <c r="I966" s="71" t="s">
        <v>139</v>
      </c>
      <c r="R966" s="71">
        <v>928</v>
      </c>
      <c r="T966" s="72">
        <v>11</v>
      </c>
      <c r="U966" s="71" t="s">
        <v>139</v>
      </c>
    </row>
    <row r="967" spans="1:21" x14ac:dyDescent="0.55000000000000004">
      <c r="A967" s="71">
        <v>555</v>
      </c>
      <c r="C967" s="73">
        <v>20.02</v>
      </c>
      <c r="D967" s="73">
        <v>18.5</v>
      </c>
      <c r="F967" s="71">
        <v>928</v>
      </c>
      <c r="H967" s="72">
        <v>11.75</v>
      </c>
      <c r="I967" s="71" t="s">
        <v>139</v>
      </c>
      <c r="R967" s="71">
        <v>928</v>
      </c>
      <c r="T967" s="72">
        <v>11.75</v>
      </c>
      <c r="U967" s="71" t="s">
        <v>139</v>
      </c>
    </row>
    <row r="968" spans="1:21" x14ac:dyDescent="0.55000000000000004">
      <c r="A968" s="71">
        <v>555</v>
      </c>
      <c r="C968" s="73">
        <v>20.03</v>
      </c>
      <c r="D968" s="73">
        <v>19.2</v>
      </c>
      <c r="F968" s="71">
        <v>928</v>
      </c>
      <c r="H968" s="72">
        <v>12</v>
      </c>
      <c r="I968" s="71" t="s">
        <v>139</v>
      </c>
      <c r="R968" s="71">
        <v>928</v>
      </c>
      <c r="T968" s="72">
        <v>12</v>
      </c>
      <c r="U968" s="71" t="s">
        <v>139</v>
      </c>
    </row>
    <row r="969" spans="1:21" x14ac:dyDescent="0.55000000000000004">
      <c r="A969" s="71">
        <v>555</v>
      </c>
      <c r="C969" s="73">
        <v>20.03</v>
      </c>
      <c r="D969" s="73">
        <v>19.649999999999999</v>
      </c>
      <c r="F969" s="71">
        <v>928</v>
      </c>
      <c r="H969" s="72">
        <v>15</v>
      </c>
      <c r="I969" s="71" t="s">
        <v>139</v>
      </c>
      <c r="R969" s="71">
        <v>928</v>
      </c>
      <c r="T969" s="72">
        <v>15</v>
      </c>
      <c r="U969" s="71" t="s">
        <v>139</v>
      </c>
    </row>
    <row r="970" spans="1:21" x14ac:dyDescent="0.55000000000000004">
      <c r="A970" s="71">
        <v>380</v>
      </c>
      <c r="C970" s="73">
        <v>20.079999999999998</v>
      </c>
      <c r="D970" s="73">
        <v>20.8</v>
      </c>
      <c r="F970" s="71">
        <v>951</v>
      </c>
      <c r="H970" s="72">
        <v>15</v>
      </c>
      <c r="I970" s="71" t="s">
        <v>139</v>
      </c>
      <c r="R970" s="71">
        <v>951</v>
      </c>
      <c r="T970" s="72">
        <v>15</v>
      </c>
      <c r="U970" s="71" t="s">
        <v>139</v>
      </c>
    </row>
    <row r="971" spans="1:21" x14ac:dyDescent="0.55000000000000004">
      <c r="A971" s="71">
        <v>380</v>
      </c>
      <c r="C971" s="73">
        <v>20.079999999999998</v>
      </c>
      <c r="F971" s="71">
        <v>951</v>
      </c>
      <c r="H971" s="72">
        <v>15</v>
      </c>
      <c r="I971" s="71" t="s">
        <v>139</v>
      </c>
      <c r="R971" s="71">
        <v>951</v>
      </c>
      <c r="T971" s="72">
        <v>15</v>
      </c>
      <c r="U971" s="71" t="s">
        <v>139</v>
      </c>
    </row>
    <row r="972" spans="1:21" x14ac:dyDescent="0.55000000000000004">
      <c r="A972" s="71">
        <v>380</v>
      </c>
      <c r="C972" s="73">
        <v>20.079999999999998</v>
      </c>
      <c r="F972" s="71">
        <v>951</v>
      </c>
      <c r="H972" s="72">
        <v>15</v>
      </c>
      <c r="I972" s="71" t="s">
        <v>139</v>
      </c>
      <c r="R972" s="71">
        <v>951</v>
      </c>
      <c r="T972" s="72">
        <v>15</v>
      </c>
      <c r="U972" s="71" t="s">
        <v>139</v>
      </c>
    </row>
    <row r="973" spans="1:21" x14ac:dyDescent="0.55000000000000004">
      <c r="A973" s="71">
        <v>380</v>
      </c>
      <c r="C973" s="73">
        <v>20.079999999999998</v>
      </c>
      <c r="F973" s="71">
        <v>951</v>
      </c>
      <c r="H973" s="72">
        <v>15</v>
      </c>
      <c r="I973" s="71" t="s">
        <v>139</v>
      </c>
      <c r="R973" s="71">
        <v>951</v>
      </c>
      <c r="T973" s="72">
        <v>15</v>
      </c>
      <c r="U973" s="71" t="s">
        <v>139</v>
      </c>
    </row>
    <row r="974" spans="1:21" x14ac:dyDescent="0.55000000000000004">
      <c r="A974" s="71">
        <v>542</v>
      </c>
      <c r="C974" s="73">
        <v>20.09</v>
      </c>
      <c r="F974" s="71">
        <v>951</v>
      </c>
      <c r="H974" s="72">
        <v>15</v>
      </c>
      <c r="I974" s="71" t="s">
        <v>139</v>
      </c>
      <c r="R974" s="71">
        <v>951</v>
      </c>
      <c r="T974" s="72">
        <v>15</v>
      </c>
      <c r="U974" s="71" t="s">
        <v>139</v>
      </c>
    </row>
    <row r="975" spans="1:21" x14ac:dyDescent="0.55000000000000004">
      <c r="A975" s="71">
        <v>222</v>
      </c>
      <c r="C975" s="74">
        <v>20.13</v>
      </c>
      <c r="D975" s="74"/>
      <c r="F975" s="71">
        <v>951</v>
      </c>
      <c r="H975" s="72">
        <v>15.25</v>
      </c>
      <c r="I975" s="71" t="s">
        <v>139</v>
      </c>
      <c r="R975" s="71">
        <v>951</v>
      </c>
      <c r="T975" s="72">
        <v>15.25</v>
      </c>
      <c r="U975" s="71" t="s">
        <v>139</v>
      </c>
    </row>
    <row r="976" spans="1:21" x14ac:dyDescent="0.55000000000000004">
      <c r="A976" s="71">
        <v>156</v>
      </c>
      <c r="C976" s="73">
        <v>20.149999999999999</v>
      </c>
      <c r="F976" s="71">
        <v>951</v>
      </c>
      <c r="H976" s="72">
        <v>15.25</v>
      </c>
      <c r="I976" s="71" t="s">
        <v>139</v>
      </c>
      <c r="R976" s="71">
        <v>951</v>
      </c>
      <c r="T976" s="72">
        <v>15.25</v>
      </c>
      <c r="U976" s="71" t="s">
        <v>139</v>
      </c>
    </row>
    <row r="977" spans="1:21" x14ac:dyDescent="0.55000000000000004">
      <c r="A977" s="71">
        <v>606</v>
      </c>
      <c r="C977" s="73">
        <v>20.16</v>
      </c>
      <c r="F977" s="71">
        <v>951</v>
      </c>
      <c r="H977" s="72">
        <v>15.25</v>
      </c>
      <c r="I977" s="71" t="s">
        <v>139</v>
      </c>
      <c r="R977" s="71">
        <v>951</v>
      </c>
      <c r="T977" s="72">
        <v>15.25</v>
      </c>
      <c r="U977" s="71" t="s">
        <v>139</v>
      </c>
    </row>
    <row r="978" spans="1:21" x14ac:dyDescent="0.55000000000000004">
      <c r="A978" s="71">
        <v>277</v>
      </c>
      <c r="C978" s="73">
        <v>20.1828</v>
      </c>
      <c r="F978" s="71">
        <v>951</v>
      </c>
      <c r="H978" s="72">
        <v>15.25</v>
      </c>
      <c r="I978" s="71" t="s">
        <v>139</v>
      </c>
      <c r="R978" s="71">
        <v>951</v>
      </c>
      <c r="T978" s="72">
        <v>15.25</v>
      </c>
      <c r="U978" s="71" t="s">
        <v>139</v>
      </c>
    </row>
    <row r="979" spans="1:21" x14ac:dyDescent="0.55000000000000004">
      <c r="A979" s="71">
        <v>380</v>
      </c>
      <c r="C979" s="73">
        <v>20.380000000000003</v>
      </c>
      <c r="F979" s="71">
        <v>951</v>
      </c>
      <c r="H979" s="72">
        <v>15.25</v>
      </c>
      <c r="I979" s="71" t="s">
        <v>139</v>
      </c>
      <c r="R979" s="71">
        <v>951</v>
      </c>
      <c r="T979" s="72">
        <v>15.25</v>
      </c>
      <c r="U979" s="71" t="s">
        <v>139</v>
      </c>
    </row>
    <row r="980" spans="1:21" x14ac:dyDescent="0.55000000000000004">
      <c r="A980" s="71">
        <v>380</v>
      </c>
      <c r="C980" s="73">
        <v>20.380000000000003</v>
      </c>
      <c r="F980" s="71">
        <v>951</v>
      </c>
      <c r="H980" s="72">
        <v>15.45</v>
      </c>
      <c r="I980" s="71" t="s">
        <v>139</v>
      </c>
      <c r="R980" s="71">
        <v>951</v>
      </c>
      <c r="T980" s="72">
        <v>15.45</v>
      </c>
      <c r="U980" s="71" t="s">
        <v>139</v>
      </c>
    </row>
    <row r="981" spans="1:21" x14ac:dyDescent="0.55000000000000004">
      <c r="A981" s="71">
        <v>380</v>
      </c>
      <c r="C981" s="73">
        <v>20.380000000000003</v>
      </c>
      <c r="D981" s="73">
        <v>21.15</v>
      </c>
      <c r="F981" s="71">
        <v>951</v>
      </c>
      <c r="H981" s="72">
        <v>15.45</v>
      </c>
      <c r="I981" s="71" t="s">
        <v>139</v>
      </c>
      <c r="R981" s="71">
        <v>951</v>
      </c>
      <c r="T981" s="72">
        <v>15.45</v>
      </c>
      <c r="U981" s="71" t="s">
        <v>139</v>
      </c>
    </row>
    <row r="982" spans="1:21" x14ac:dyDescent="0.55000000000000004">
      <c r="A982" s="71">
        <v>380</v>
      </c>
      <c r="C982" s="73">
        <v>20.380000000000003</v>
      </c>
      <c r="D982" s="73">
        <v>21.15</v>
      </c>
      <c r="F982" s="71">
        <v>951</v>
      </c>
      <c r="H982" s="72">
        <v>15.45</v>
      </c>
      <c r="I982" s="71" t="s">
        <v>139</v>
      </c>
      <c r="R982" s="71">
        <v>951</v>
      </c>
      <c r="T982" s="72">
        <v>15.45</v>
      </c>
      <c r="U982" s="71" t="s">
        <v>139</v>
      </c>
    </row>
    <row r="983" spans="1:21" x14ac:dyDescent="0.55000000000000004">
      <c r="A983" s="71">
        <v>173</v>
      </c>
      <c r="C983" s="73">
        <v>20.399999999999999</v>
      </c>
      <c r="D983" s="73">
        <v>20.72</v>
      </c>
      <c r="F983" s="71">
        <v>951</v>
      </c>
      <c r="H983" s="72">
        <v>15.45</v>
      </c>
      <c r="I983" s="71" t="s">
        <v>139</v>
      </c>
      <c r="R983" s="71">
        <v>951</v>
      </c>
      <c r="T983" s="72">
        <v>15.45</v>
      </c>
      <c r="U983" s="71" t="s">
        <v>139</v>
      </c>
    </row>
    <row r="984" spans="1:21" x14ac:dyDescent="0.55000000000000004">
      <c r="A984" s="71">
        <v>173</v>
      </c>
      <c r="C984" s="73">
        <v>20.399999999999999</v>
      </c>
      <c r="D984" s="73">
        <v>20.72</v>
      </c>
      <c r="F984" s="71">
        <v>951</v>
      </c>
      <c r="H984" s="72">
        <v>16.350000000000001</v>
      </c>
      <c r="I984" s="71" t="s">
        <v>139</v>
      </c>
      <c r="R984" s="71">
        <v>951</v>
      </c>
      <c r="T984" s="72">
        <v>16.350000000000001</v>
      </c>
      <c r="U984" s="71" t="s">
        <v>139</v>
      </c>
    </row>
    <row r="985" spans="1:21" x14ac:dyDescent="0.55000000000000004">
      <c r="A985" s="71">
        <v>540</v>
      </c>
      <c r="C985" s="73">
        <v>20.41</v>
      </c>
      <c r="D985" s="73">
        <v>20.52</v>
      </c>
      <c r="F985" s="71">
        <v>953</v>
      </c>
      <c r="H985" s="72">
        <v>14.53</v>
      </c>
      <c r="I985" s="71" t="s">
        <v>139</v>
      </c>
      <c r="R985" s="71">
        <v>953</v>
      </c>
      <c r="T985" s="72">
        <v>14.53</v>
      </c>
      <c r="U985" s="71" t="s">
        <v>139</v>
      </c>
    </row>
    <row r="986" spans="1:21" x14ac:dyDescent="0.55000000000000004">
      <c r="A986" s="71">
        <v>540</v>
      </c>
      <c r="C986" s="73">
        <v>20.41</v>
      </c>
      <c r="D986" s="73">
        <v>20.52</v>
      </c>
      <c r="F986" s="71">
        <v>953</v>
      </c>
      <c r="H986" s="72">
        <v>16.68</v>
      </c>
      <c r="I986" s="71" t="s">
        <v>139</v>
      </c>
      <c r="R986" s="71">
        <v>953</v>
      </c>
      <c r="T986" s="72">
        <v>16.68</v>
      </c>
      <c r="U986" s="71" t="s">
        <v>139</v>
      </c>
    </row>
    <row r="987" spans="1:21" x14ac:dyDescent="0.55000000000000004">
      <c r="A987" s="71">
        <v>575</v>
      </c>
      <c r="C987" s="73">
        <v>20.440000000000001</v>
      </c>
      <c r="D987" s="73">
        <v>20.32</v>
      </c>
      <c r="F987" s="71">
        <v>953</v>
      </c>
      <c r="H987" s="72">
        <v>17.100000000000001</v>
      </c>
      <c r="I987" s="71" t="s">
        <v>139</v>
      </c>
      <c r="R987" s="71">
        <v>953</v>
      </c>
      <c r="T987" s="72">
        <v>17.100000000000001</v>
      </c>
      <c r="U987" s="71" t="s">
        <v>139</v>
      </c>
    </row>
    <row r="988" spans="1:21" x14ac:dyDescent="0.55000000000000004">
      <c r="A988" s="71">
        <v>145</v>
      </c>
      <c r="C988" s="73">
        <v>20.5</v>
      </c>
      <c r="D988" s="73">
        <v>20.32</v>
      </c>
      <c r="F988" s="71">
        <v>953</v>
      </c>
      <c r="H988" s="72">
        <v>17.309999999999999</v>
      </c>
      <c r="I988" s="71" t="s">
        <v>139</v>
      </c>
      <c r="R988" s="71">
        <v>953</v>
      </c>
      <c r="T988" s="72">
        <v>17.309999999999999</v>
      </c>
      <c r="U988" s="71" t="s">
        <v>139</v>
      </c>
    </row>
    <row r="989" spans="1:21" x14ac:dyDescent="0.55000000000000004">
      <c r="A989" s="71">
        <v>555</v>
      </c>
      <c r="C989" s="73">
        <v>20.5</v>
      </c>
      <c r="D989" s="73">
        <v>16.670000000000002</v>
      </c>
      <c r="F989" s="71">
        <v>953</v>
      </c>
      <c r="H989" s="72">
        <v>17.55</v>
      </c>
      <c r="I989" s="71" t="s">
        <v>139</v>
      </c>
      <c r="R989" s="71">
        <v>953</v>
      </c>
      <c r="T989" s="72">
        <v>17.55</v>
      </c>
      <c r="U989" s="71" t="s">
        <v>139</v>
      </c>
    </row>
    <row r="990" spans="1:21" x14ac:dyDescent="0.55000000000000004">
      <c r="A990" s="71">
        <v>910</v>
      </c>
      <c r="C990" s="73">
        <v>20.552551692809896</v>
      </c>
      <c r="F990" s="71">
        <v>953</v>
      </c>
      <c r="H990" s="72">
        <v>17.72</v>
      </c>
      <c r="I990" s="71" t="s">
        <v>139</v>
      </c>
      <c r="R990" s="71">
        <v>953</v>
      </c>
      <c r="T990" s="72">
        <v>17.72</v>
      </c>
      <c r="U990" s="71" t="s">
        <v>139</v>
      </c>
    </row>
    <row r="991" spans="1:21" x14ac:dyDescent="0.55000000000000004">
      <c r="A991" s="71">
        <v>575</v>
      </c>
      <c r="C991" s="73">
        <v>20.57</v>
      </c>
      <c r="F991" s="71">
        <v>953</v>
      </c>
      <c r="H991" s="72">
        <v>18.11</v>
      </c>
      <c r="I991" s="71" t="s">
        <v>139</v>
      </c>
      <c r="R991" s="71">
        <v>953</v>
      </c>
      <c r="T991" s="72">
        <v>18.11</v>
      </c>
      <c r="U991" s="71" t="s">
        <v>139</v>
      </c>
    </row>
    <row r="992" spans="1:21" x14ac:dyDescent="0.55000000000000004">
      <c r="A992" s="71">
        <v>164</v>
      </c>
      <c r="C992" s="73">
        <v>20.59</v>
      </c>
      <c r="F992" s="71">
        <v>959</v>
      </c>
      <c r="H992" s="72">
        <v>13.69</v>
      </c>
      <c r="I992" s="71" t="s">
        <v>139</v>
      </c>
      <c r="R992" s="71">
        <v>959</v>
      </c>
      <c r="T992" s="72">
        <v>13.69</v>
      </c>
      <c r="U992" s="71" t="s">
        <v>139</v>
      </c>
    </row>
    <row r="993" spans="1:21" x14ac:dyDescent="0.55000000000000004">
      <c r="A993" s="71">
        <v>883</v>
      </c>
      <c r="C993" s="73">
        <v>20.6</v>
      </c>
      <c r="F993" s="71">
        <v>959</v>
      </c>
      <c r="H993" s="72">
        <v>16</v>
      </c>
      <c r="I993" s="71" t="s">
        <v>139</v>
      </c>
      <c r="R993" s="71">
        <v>959</v>
      </c>
      <c r="T993" s="72">
        <v>16</v>
      </c>
      <c r="U993" s="71" t="s">
        <v>139</v>
      </c>
    </row>
    <row r="994" spans="1:21" x14ac:dyDescent="0.55000000000000004">
      <c r="A994" s="71">
        <v>313</v>
      </c>
      <c r="C994" s="73">
        <v>20.638000000000002</v>
      </c>
      <c r="F994" s="71">
        <v>959</v>
      </c>
      <c r="H994" s="72">
        <v>16</v>
      </c>
      <c r="I994" s="71" t="s">
        <v>139</v>
      </c>
      <c r="R994" s="71">
        <v>959</v>
      </c>
      <c r="T994" s="72">
        <v>16</v>
      </c>
      <c r="U994" s="71" t="s">
        <v>139</v>
      </c>
    </row>
    <row r="995" spans="1:21" x14ac:dyDescent="0.55000000000000004">
      <c r="A995" s="71">
        <v>380</v>
      </c>
      <c r="C995" s="73">
        <v>20.689999999999998</v>
      </c>
      <c r="F995" s="71">
        <v>959</v>
      </c>
      <c r="H995" s="72">
        <v>16</v>
      </c>
      <c r="I995" s="71" t="s">
        <v>139</v>
      </c>
      <c r="R995" s="71">
        <v>959</v>
      </c>
      <c r="T995" s="72">
        <v>16</v>
      </c>
      <c r="U995" s="71" t="s">
        <v>139</v>
      </c>
    </row>
    <row r="996" spans="1:21" x14ac:dyDescent="0.55000000000000004">
      <c r="A996" s="71">
        <v>380</v>
      </c>
      <c r="C996" s="73">
        <v>20.689999999999998</v>
      </c>
      <c r="F996" s="71">
        <v>959</v>
      </c>
      <c r="H996" s="72">
        <v>16</v>
      </c>
      <c r="I996" s="71" t="s">
        <v>139</v>
      </c>
      <c r="R996" s="71">
        <v>959</v>
      </c>
      <c r="T996" s="72">
        <v>16</v>
      </c>
      <c r="U996" s="71" t="s">
        <v>139</v>
      </c>
    </row>
    <row r="997" spans="1:21" x14ac:dyDescent="0.55000000000000004">
      <c r="A997" s="71">
        <v>380</v>
      </c>
      <c r="C997" s="73">
        <v>20.689999999999998</v>
      </c>
      <c r="F997" s="71">
        <v>959</v>
      </c>
      <c r="H997" s="72">
        <v>16</v>
      </c>
      <c r="I997" s="71" t="s">
        <v>139</v>
      </c>
      <c r="R997" s="71">
        <v>959</v>
      </c>
      <c r="T997" s="72">
        <v>16</v>
      </c>
      <c r="U997" s="71" t="s">
        <v>139</v>
      </c>
    </row>
    <row r="998" spans="1:21" x14ac:dyDescent="0.55000000000000004">
      <c r="A998" s="71">
        <v>173</v>
      </c>
      <c r="C998" s="73">
        <v>20.7</v>
      </c>
      <c r="F998" s="71">
        <v>959</v>
      </c>
      <c r="H998" s="72">
        <v>16</v>
      </c>
      <c r="I998" s="71" t="s">
        <v>139</v>
      </c>
      <c r="R998" s="71">
        <v>959</v>
      </c>
      <c r="T998" s="72">
        <v>16</v>
      </c>
      <c r="U998" s="71" t="s">
        <v>139</v>
      </c>
    </row>
    <row r="999" spans="1:21" x14ac:dyDescent="0.55000000000000004">
      <c r="A999" s="71">
        <v>183</v>
      </c>
      <c r="C999" s="73">
        <v>20.76</v>
      </c>
      <c r="F999" s="71">
        <v>959</v>
      </c>
      <c r="H999" s="72">
        <v>16</v>
      </c>
      <c r="I999" s="71" t="s">
        <v>139</v>
      </c>
      <c r="R999" s="71">
        <v>959</v>
      </c>
      <c r="T999" s="72">
        <v>16</v>
      </c>
      <c r="U999" s="71" t="s">
        <v>139</v>
      </c>
    </row>
    <row r="1000" spans="1:21" x14ac:dyDescent="0.55000000000000004">
      <c r="A1000" s="71">
        <v>315</v>
      </c>
      <c r="C1000" s="73">
        <v>21.11</v>
      </c>
      <c r="F1000" s="71">
        <v>959</v>
      </c>
      <c r="H1000" s="72">
        <v>16.21</v>
      </c>
      <c r="I1000" s="71" t="s">
        <v>139</v>
      </c>
      <c r="R1000" s="71">
        <v>959</v>
      </c>
      <c r="T1000" s="72">
        <v>16.21</v>
      </c>
      <c r="U1000" s="71" t="s">
        <v>139</v>
      </c>
    </row>
    <row r="1001" spans="1:21" x14ac:dyDescent="0.55000000000000004">
      <c r="A1001" s="71">
        <v>380</v>
      </c>
      <c r="C1001" s="73">
        <v>21.32</v>
      </c>
      <c r="F1001" s="71">
        <v>959</v>
      </c>
      <c r="H1001" s="72">
        <v>17.23</v>
      </c>
      <c r="I1001" s="71" t="s">
        <v>139</v>
      </c>
      <c r="R1001" s="71">
        <v>959</v>
      </c>
      <c r="T1001" s="72">
        <v>17.23</v>
      </c>
      <c r="U1001" s="71" t="s">
        <v>139</v>
      </c>
    </row>
    <row r="1002" spans="1:21" x14ac:dyDescent="0.55000000000000004">
      <c r="A1002" s="71">
        <v>712</v>
      </c>
      <c r="C1002" s="73">
        <v>21.36</v>
      </c>
      <c r="F1002" s="71">
        <v>959</v>
      </c>
      <c r="H1002" s="72">
        <v>17.88</v>
      </c>
      <c r="I1002" s="71" t="s">
        <v>139</v>
      </c>
      <c r="R1002" s="71">
        <v>959</v>
      </c>
      <c r="T1002" s="72">
        <v>17.88</v>
      </c>
      <c r="U1002" s="71" t="s">
        <v>139</v>
      </c>
    </row>
    <row r="1003" spans="1:21" x14ac:dyDescent="0.55000000000000004">
      <c r="A1003" s="71">
        <v>712</v>
      </c>
      <c r="C1003" s="73">
        <v>21.36</v>
      </c>
      <c r="F1003" s="71">
        <v>962</v>
      </c>
      <c r="H1003" s="72">
        <v>15.6</v>
      </c>
      <c r="I1003" s="71" t="s">
        <v>139</v>
      </c>
      <c r="R1003" s="71">
        <v>962</v>
      </c>
      <c r="T1003" s="72">
        <v>15.6</v>
      </c>
      <c r="U1003" s="71" t="s">
        <v>139</v>
      </c>
    </row>
    <row r="1004" spans="1:21" x14ac:dyDescent="0.55000000000000004">
      <c r="A1004" s="71">
        <v>712</v>
      </c>
      <c r="C1004" s="73">
        <v>21.41</v>
      </c>
      <c r="F1004" s="71">
        <v>962</v>
      </c>
      <c r="H1004" s="72">
        <v>16.079999999999998</v>
      </c>
      <c r="I1004" s="71" t="s">
        <v>139</v>
      </c>
      <c r="R1004" s="71">
        <v>962</v>
      </c>
      <c r="T1004" s="72">
        <v>16.079999999999998</v>
      </c>
      <c r="U1004" s="71" t="s">
        <v>139</v>
      </c>
    </row>
    <row r="1005" spans="1:21" x14ac:dyDescent="0.55000000000000004">
      <c r="A1005" s="71">
        <v>642</v>
      </c>
      <c r="C1005" s="74">
        <v>21.42</v>
      </c>
      <c r="D1005" s="74"/>
      <c r="F1005" s="71">
        <v>962</v>
      </c>
      <c r="H1005" s="72">
        <v>16.600000000000001</v>
      </c>
      <c r="I1005" s="71" t="s">
        <v>139</v>
      </c>
      <c r="R1005" s="71">
        <v>962</v>
      </c>
      <c r="T1005" s="72">
        <v>16.600000000000001</v>
      </c>
      <c r="U1005" s="71" t="s">
        <v>139</v>
      </c>
    </row>
    <row r="1006" spans="1:21" x14ac:dyDescent="0.55000000000000004">
      <c r="A1006" s="71">
        <v>642</v>
      </c>
      <c r="C1006" s="73">
        <v>21.42</v>
      </c>
      <c r="F1006" s="71">
        <v>962</v>
      </c>
      <c r="H1006" s="72">
        <v>17.29</v>
      </c>
      <c r="I1006" s="71" t="s">
        <v>139</v>
      </c>
      <c r="R1006" s="71">
        <v>962</v>
      </c>
      <c r="T1006" s="72">
        <v>17.29</v>
      </c>
      <c r="U1006" s="71" t="s">
        <v>139</v>
      </c>
    </row>
    <row r="1007" spans="1:21" x14ac:dyDescent="0.55000000000000004">
      <c r="A1007" s="71">
        <v>642</v>
      </c>
      <c r="C1007" s="73">
        <v>21.42</v>
      </c>
      <c r="F1007" s="71">
        <v>962</v>
      </c>
      <c r="H1007" s="72">
        <v>17.600000000000001</v>
      </c>
      <c r="I1007" s="71" t="s">
        <v>139</v>
      </c>
      <c r="R1007" s="71">
        <v>962</v>
      </c>
      <c r="T1007" s="72">
        <v>17.600000000000001</v>
      </c>
      <c r="U1007" s="71" t="s">
        <v>139</v>
      </c>
    </row>
    <row r="1008" spans="1:21" x14ac:dyDescent="0.55000000000000004">
      <c r="A1008" s="71">
        <v>642</v>
      </c>
      <c r="C1008" s="73">
        <v>21.42</v>
      </c>
      <c r="F1008" s="71">
        <v>962</v>
      </c>
      <c r="H1008" s="72">
        <v>17.600000000000001</v>
      </c>
      <c r="I1008" s="71" t="s">
        <v>139</v>
      </c>
      <c r="R1008" s="71">
        <v>962</v>
      </c>
      <c r="T1008" s="72">
        <v>17.600000000000001</v>
      </c>
      <c r="U1008" s="71" t="s">
        <v>139</v>
      </c>
    </row>
    <row r="1009" spans="1:21" x14ac:dyDescent="0.55000000000000004">
      <c r="A1009" s="71">
        <v>218</v>
      </c>
      <c r="C1009" s="73">
        <v>21.5</v>
      </c>
      <c r="F1009" s="71">
        <v>962</v>
      </c>
      <c r="H1009" s="72">
        <v>17.600000000000001</v>
      </c>
      <c r="I1009" s="71" t="s">
        <v>139</v>
      </c>
      <c r="R1009" s="71">
        <v>962</v>
      </c>
      <c r="T1009" s="72">
        <v>17.600000000000001</v>
      </c>
      <c r="U1009" s="71" t="s">
        <v>139</v>
      </c>
    </row>
    <row r="1010" spans="1:21" x14ac:dyDescent="0.55000000000000004">
      <c r="A1010" s="71">
        <v>540</v>
      </c>
      <c r="C1010" s="73">
        <v>21.63</v>
      </c>
      <c r="F1010" s="71">
        <v>962</v>
      </c>
      <c r="H1010" s="72">
        <v>17.600000000000001</v>
      </c>
      <c r="I1010" s="71" t="s">
        <v>139</v>
      </c>
      <c r="R1010" s="71">
        <v>962</v>
      </c>
      <c r="T1010" s="72">
        <v>17.600000000000001</v>
      </c>
      <c r="U1010" s="71" t="s">
        <v>139</v>
      </c>
    </row>
    <row r="1011" spans="1:21" x14ac:dyDescent="0.55000000000000004">
      <c r="A1011" s="71">
        <v>145</v>
      </c>
      <c r="C1011" s="73">
        <v>21.84</v>
      </c>
      <c r="F1011" s="71">
        <v>962</v>
      </c>
      <c r="H1011" s="72">
        <v>18.09</v>
      </c>
      <c r="I1011" s="71" t="s">
        <v>139</v>
      </c>
      <c r="R1011" s="71">
        <v>962</v>
      </c>
      <c r="T1011" s="72">
        <v>18.09</v>
      </c>
      <c r="U1011" s="71" t="s">
        <v>139</v>
      </c>
    </row>
    <row r="1012" spans="1:21" x14ac:dyDescent="0.55000000000000004">
      <c r="A1012" s="71">
        <v>380</v>
      </c>
      <c r="C1012" s="73">
        <v>21.97</v>
      </c>
      <c r="F1012" s="71">
        <v>967</v>
      </c>
      <c r="H1012" s="72">
        <v>16</v>
      </c>
      <c r="I1012" s="71" t="s">
        <v>139</v>
      </c>
      <c r="R1012" s="71">
        <v>967</v>
      </c>
      <c r="T1012" s="72">
        <v>16</v>
      </c>
      <c r="U1012" s="71" t="s">
        <v>139</v>
      </c>
    </row>
    <row r="1013" spans="1:21" x14ac:dyDescent="0.55000000000000004">
      <c r="A1013" s="71">
        <v>145</v>
      </c>
      <c r="C1013" s="73">
        <v>22</v>
      </c>
      <c r="F1013" s="71">
        <v>967</v>
      </c>
      <c r="H1013" s="72">
        <v>17.5</v>
      </c>
      <c r="I1013" s="71" t="s">
        <v>139</v>
      </c>
      <c r="R1013" s="71">
        <v>967</v>
      </c>
      <c r="T1013" s="72">
        <v>17.5</v>
      </c>
      <c r="U1013" s="71" t="s">
        <v>139</v>
      </c>
    </row>
    <row r="1014" spans="1:21" x14ac:dyDescent="0.55000000000000004">
      <c r="A1014" s="71">
        <v>560</v>
      </c>
      <c r="C1014" s="73">
        <v>22</v>
      </c>
      <c r="F1014" s="71">
        <v>967</v>
      </c>
      <c r="H1014" s="72">
        <v>18</v>
      </c>
      <c r="I1014" s="71" t="s">
        <v>139</v>
      </c>
      <c r="R1014" s="71">
        <v>967</v>
      </c>
      <c r="T1014" s="72">
        <v>18</v>
      </c>
      <c r="U1014" s="71" t="s">
        <v>139</v>
      </c>
    </row>
    <row r="1015" spans="1:21" x14ac:dyDescent="0.55000000000000004">
      <c r="A1015" s="71">
        <v>218</v>
      </c>
      <c r="C1015" s="73">
        <v>22</v>
      </c>
      <c r="F1015" s="71">
        <v>984</v>
      </c>
      <c r="H1015" s="72">
        <v>15.45</v>
      </c>
      <c r="I1015" s="71" t="s">
        <v>139</v>
      </c>
      <c r="R1015" s="71">
        <v>984</v>
      </c>
      <c r="T1015" s="72">
        <v>15.45</v>
      </c>
      <c r="U1015" s="71" t="s">
        <v>139</v>
      </c>
    </row>
    <row r="1016" spans="1:21" x14ac:dyDescent="0.55000000000000004">
      <c r="A1016" s="71">
        <v>712</v>
      </c>
      <c r="C1016" s="73">
        <v>22.14</v>
      </c>
      <c r="F1016" s="71">
        <v>984</v>
      </c>
      <c r="H1016" s="72">
        <v>15.45</v>
      </c>
      <c r="I1016" s="71" t="s">
        <v>139</v>
      </c>
      <c r="R1016" s="71">
        <v>984</v>
      </c>
      <c r="T1016" s="72">
        <v>15.45</v>
      </c>
      <c r="U1016" s="71" t="s">
        <v>139</v>
      </c>
    </row>
    <row r="1017" spans="1:21" x14ac:dyDescent="0.55000000000000004">
      <c r="A1017" s="71">
        <v>604</v>
      </c>
      <c r="C1017" s="73">
        <v>22.18</v>
      </c>
      <c r="F1017" s="71">
        <v>984</v>
      </c>
      <c r="H1017" s="72">
        <v>15.45</v>
      </c>
      <c r="I1017" s="71" t="s">
        <v>139</v>
      </c>
      <c r="R1017" s="71">
        <v>984</v>
      </c>
      <c r="T1017" s="72">
        <v>15.45</v>
      </c>
      <c r="U1017" s="71" t="s">
        <v>139</v>
      </c>
    </row>
    <row r="1018" spans="1:21" x14ac:dyDescent="0.55000000000000004">
      <c r="A1018" s="71">
        <v>604</v>
      </c>
      <c r="C1018" s="73">
        <v>22.31</v>
      </c>
      <c r="F1018" s="71">
        <v>984</v>
      </c>
      <c r="H1018" s="72">
        <v>15.45</v>
      </c>
      <c r="I1018" s="71" t="s">
        <v>139</v>
      </c>
      <c r="R1018" s="71">
        <v>984</v>
      </c>
      <c r="T1018" s="72">
        <v>15.45</v>
      </c>
      <c r="U1018" s="71" t="s">
        <v>139</v>
      </c>
    </row>
    <row r="1019" spans="1:21" x14ac:dyDescent="0.55000000000000004">
      <c r="A1019" s="71">
        <v>604</v>
      </c>
      <c r="C1019" s="73">
        <v>22.31</v>
      </c>
      <c r="F1019" s="71">
        <v>984</v>
      </c>
      <c r="H1019" s="72">
        <v>15.45</v>
      </c>
      <c r="I1019" s="71" t="s">
        <v>139</v>
      </c>
      <c r="R1019" s="71">
        <v>984</v>
      </c>
      <c r="T1019" s="72">
        <v>15.45</v>
      </c>
      <c r="U1019" s="71" t="s">
        <v>139</v>
      </c>
    </row>
    <row r="1020" spans="1:21" x14ac:dyDescent="0.55000000000000004">
      <c r="A1020" s="71">
        <v>315</v>
      </c>
      <c r="C1020" s="73">
        <v>22.4</v>
      </c>
      <c r="F1020" s="71">
        <v>984</v>
      </c>
      <c r="H1020" s="72">
        <v>15.45</v>
      </c>
      <c r="I1020" s="71" t="s">
        <v>139</v>
      </c>
      <c r="R1020" s="71">
        <v>984</v>
      </c>
      <c r="T1020" s="72">
        <v>15.45</v>
      </c>
      <c r="U1020" s="71" t="s">
        <v>139</v>
      </c>
    </row>
    <row r="1021" spans="1:21" x14ac:dyDescent="0.55000000000000004">
      <c r="A1021" s="71">
        <v>528</v>
      </c>
      <c r="C1021" s="73">
        <v>22.41</v>
      </c>
      <c r="F1021" s="71">
        <v>984</v>
      </c>
      <c r="H1021" s="72">
        <v>15.45</v>
      </c>
      <c r="I1021" s="71" t="s">
        <v>139</v>
      </c>
      <c r="R1021" s="71">
        <v>984</v>
      </c>
      <c r="T1021" s="72">
        <v>15.45</v>
      </c>
      <c r="U1021" s="71" t="s">
        <v>139</v>
      </c>
    </row>
    <row r="1022" spans="1:21" x14ac:dyDescent="0.55000000000000004">
      <c r="A1022" s="71">
        <v>452</v>
      </c>
      <c r="C1022" s="73">
        <v>22.58</v>
      </c>
      <c r="F1022" s="71">
        <v>984</v>
      </c>
      <c r="H1022" s="72">
        <v>15.45</v>
      </c>
      <c r="I1022" s="71" t="s">
        <v>139</v>
      </c>
      <c r="R1022" s="71">
        <v>984</v>
      </c>
      <c r="T1022" s="72">
        <v>15.45</v>
      </c>
      <c r="U1022" s="71" t="s">
        <v>139</v>
      </c>
    </row>
    <row r="1023" spans="1:21" x14ac:dyDescent="0.55000000000000004">
      <c r="A1023" s="71">
        <v>380</v>
      </c>
      <c r="C1023" s="73">
        <v>22.65</v>
      </c>
      <c r="F1023" s="71">
        <v>984</v>
      </c>
      <c r="H1023" s="72">
        <v>15.45</v>
      </c>
      <c r="I1023" s="71" t="s">
        <v>139</v>
      </c>
      <c r="R1023" s="71">
        <v>984</v>
      </c>
      <c r="T1023" s="72">
        <v>15.45</v>
      </c>
      <c r="U1023" s="71" t="s">
        <v>139</v>
      </c>
    </row>
    <row r="1024" spans="1:21" x14ac:dyDescent="0.55000000000000004">
      <c r="A1024" s="71">
        <v>380</v>
      </c>
      <c r="C1024" s="73">
        <v>22.66</v>
      </c>
      <c r="F1024" s="71">
        <v>984</v>
      </c>
      <c r="H1024" s="72">
        <v>15.45</v>
      </c>
      <c r="I1024" s="71" t="s">
        <v>139</v>
      </c>
      <c r="R1024" s="71">
        <v>984</v>
      </c>
      <c r="T1024" s="72">
        <v>15.45</v>
      </c>
      <c r="U1024" s="71" t="s">
        <v>139</v>
      </c>
    </row>
    <row r="1025" spans="1:21" x14ac:dyDescent="0.55000000000000004">
      <c r="A1025" s="71">
        <v>156</v>
      </c>
      <c r="C1025" s="73">
        <v>22.73</v>
      </c>
      <c r="F1025" s="71">
        <v>984</v>
      </c>
      <c r="H1025" s="72">
        <v>15.45</v>
      </c>
      <c r="I1025" s="71" t="s">
        <v>139</v>
      </c>
      <c r="R1025" s="71">
        <v>984</v>
      </c>
      <c r="T1025" s="72">
        <v>15.45</v>
      </c>
      <c r="U1025" s="71" t="s">
        <v>139</v>
      </c>
    </row>
    <row r="1026" spans="1:21" x14ac:dyDescent="0.55000000000000004">
      <c r="A1026" s="71">
        <v>315</v>
      </c>
      <c r="C1026" s="73">
        <v>23.07</v>
      </c>
      <c r="F1026" s="71">
        <v>984</v>
      </c>
      <c r="H1026" s="72">
        <v>15.45</v>
      </c>
      <c r="I1026" s="71" t="s">
        <v>139</v>
      </c>
      <c r="R1026" s="71">
        <v>984</v>
      </c>
      <c r="T1026" s="72">
        <v>15.45</v>
      </c>
      <c r="U1026" s="71" t="s">
        <v>139</v>
      </c>
    </row>
    <row r="1027" spans="1:21" x14ac:dyDescent="0.55000000000000004">
      <c r="A1027" s="71">
        <v>315</v>
      </c>
      <c r="C1027" s="73">
        <v>23.07</v>
      </c>
      <c r="F1027" s="71">
        <v>984</v>
      </c>
      <c r="H1027" s="72">
        <v>15.45</v>
      </c>
      <c r="I1027" s="71" t="s">
        <v>139</v>
      </c>
      <c r="R1027" s="71">
        <v>984</v>
      </c>
      <c r="T1027" s="72">
        <v>15.45</v>
      </c>
      <c r="U1027" s="71" t="s">
        <v>139</v>
      </c>
    </row>
    <row r="1028" spans="1:21" x14ac:dyDescent="0.55000000000000004">
      <c r="A1028" s="71">
        <v>315</v>
      </c>
      <c r="C1028" s="73">
        <v>23.07</v>
      </c>
      <c r="F1028" s="71">
        <v>984</v>
      </c>
      <c r="H1028" s="72">
        <v>15.45</v>
      </c>
      <c r="I1028" s="71" t="s">
        <v>139</v>
      </c>
      <c r="R1028" s="71">
        <v>984</v>
      </c>
      <c r="T1028" s="72">
        <v>15.45</v>
      </c>
      <c r="U1028" s="71" t="s">
        <v>139</v>
      </c>
    </row>
    <row r="1029" spans="1:21" x14ac:dyDescent="0.55000000000000004">
      <c r="A1029" s="71">
        <v>315</v>
      </c>
      <c r="C1029" s="73">
        <v>23.07</v>
      </c>
      <c r="F1029" s="71">
        <v>984</v>
      </c>
      <c r="H1029" s="72">
        <v>15.45</v>
      </c>
      <c r="I1029" s="71" t="s">
        <v>139</v>
      </c>
      <c r="R1029" s="71">
        <v>984</v>
      </c>
      <c r="T1029" s="72">
        <v>15.45</v>
      </c>
      <c r="U1029" s="71" t="s">
        <v>139</v>
      </c>
    </row>
    <row r="1030" spans="1:21" x14ac:dyDescent="0.55000000000000004">
      <c r="A1030" s="71">
        <v>380</v>
      </c>
      <c r="C1030" s="73">
        <v>23.38</v>
      </c>
      <c r="F1030" s="71">
        <v>984</v>
      </c>
      <c r="H1030" s="72">
        <v>15.45</v>
      </c>
      <c r="I1030" s="71" t="s">
        <v>139</v>
      </c>
      <c r="R1030" s="71">
        <v>984</v>
      </c>
      <c r="T1030" s="72">
        <v>15.45</v>
      </c>
      <c r="U1030" s="71" t="s">
        <v>139</v>
      </c>
    </row>
    <row r="1031" spans="1:21" x14ac:dyDescent="0.55000000000000004">
      <c r="A1031" s="71">
        <v>380</v>
      </c>
      <c r="C1031" s="73">
        <v>23.38</v>
      </c>
      <c r="F1031" s="71">
        <v>984</v>
      </c>
      <c r="H1031" s="72">
        <v>15.45</v>
      </c>
      <c r="I1031" s="71" t="s">
        <v>139</v>
      </c>
      <c r="R1031" s="71">
        <v>984</v>
      </c>
      <c r="T1031" s="72">
        <v>15.45</v>
      </c>
      <c r="U1031" s="71" t="s">
        <v>139</v>
      </c>
    </row>
    <row r="1032" spans="1:21" x14ac:dyDescent="0.55000000000000004">
      <c r="A1032" s="71">
        <v>380</v>
      </c>
      <c r="C1032" s="73">
        <v>23.38</v>
      </c>
      <c r="F1032" s="71">
        <v>984</v>
      </c>
      <c r="H1032" s="72">
        <v>15.84</v>
      </c>
      <c r="I1032" s="71" t="s">
        <v>139</v>
      </c>
      <c r="R1032" s="71">
        <v>984</v>
      </c>
      <c r="T1032" s="72">
        <v>15.84</v>
      </c>
      <c r="U1032" s="71" t="s">
        <v>139</v>
      </c>
    </row>
    <row r="1033" spans="1:21" x14ac:dyDescent="0.55000000000000004">
      <c r="A1033" s="71">
        <v>380</v>
      </c>
      <c r="C1033" s="73">
        <v>23.38</v>
      </c>
      <c r="F1033" s="71">
        <v>984</v>
      </c>
      <c r="H1033" s="72">
        <v>15.84</v>
      </c>
      <c r="I1033" s="71" t="s">
        <v>139</v>
      </c>
      <c r="R1033" s="71">
        <v>984</v>
      </c>
      <c r="T1033" s="72">
        <v>15.84</v>
      </c>
      <c r="U1033" s="71" t="s">
        <v>139</v>
      </c>
    </row>
    <row r="1034" spans="1:21" x14ac:dyDescent="0.55000000000000004">
      <c r="A1034" s="71">
        <v>380</v>
      </c>
      <c r="C1034" s="73">
        <v>23.38</v>
      </c>
      <c r="F1034" s="71">
        <v>984</v>
      </c>
      <c r="H1034" s="72">
        <v>16.649999999999999</v>
      </c>
      <c r="I1034" s="71" t="s">
        <v>139</v>
      </c>
      <c r="R1034" s="71">
        <v>984</v>
      </c>
      <c r="T1034" s="72">
        <v>16.649999999999999</v>
      </c>
      <c r="U1034" s="71" t="s">
        <v>139</v>
      </c>
    </row>
    <row r="1035" spans="1:21" x14ac:dyDescent="0.55000000000000004">
      <c r="A1035" s="71">
        <v>380</v>
      </c>
      <c r="C1035" s="73">
        <v>23.38</v>
      </c>
      <c r="F1035" s="71">
        <v>984</v>
      </c>
      <c r="H1035" s="72">
        <v>18.39</v>
      </c>
      <c r="I1035" s="71" t="s">
        <v>139</v>
      </c>
      <c r="R1035" s="71">
        <v>984</v>
      </c>
      <c r="T1035" s="72">
        <v>18.39</v>
      </c>
      <c r="U1035" s="71" t="s">
        <v>139</v>
      </c>
    </row>
    <row r="1036" spans="1:21" x14ac:dyDescent="0.55000000000000004">
      <c r="A1036" s="71">
        <v>380</v>
      </c>
      <c r="C1036" s="73">
        <v>23.38</v>
      </c>
      <c r="F1036" s="71">
        <v>984</v>
      </c>
      <c r="H1036" s="72">
        <v>18.850000000000001</v>
      </c>
      <c r="I1036" s="71" t="s">
        <v>139</v>
      </c>
      <c r="R1036" s="71">
        <v>984</v>
      </c>
      <c r="T1036" s="72">
        <v>18.850000000000001</v>
      </c>
      <c r="U1036" s="71" t="s">
        <v>139</v>
      </c>
    </row>
    <row r="1037" spans="1:21" x14ac:dyDescent="0.55000000000000004">
      <c r="A1037" s="71">
        <v>315</v>
      </c>
      <c r="C1037" s="73">
        <v>23.76</v>
      </c>
      <c r="F1037" s="71">
        <v>997</v>
      </c>
      <c r="H1037" s="72">
        <v>13.854039999999999</v>
      </c>
      <c r="I1037" s="71" t="s">
        <v>139</v>
      </c>
      <c r="R1037" s="71">
        <v>997</v>
      </c>
      <c r="T1037" s="72">
        <v>13.854039999999999</v>
      </c>
      <c r="U1037" s="71" t="s">
        <v>139</v>
      </c>
    </row>
    <row r="1038" spans="1:21" x14ac:dyDescent="0.55000000000000004">
      <c r="A1038" s="71">
        <v>315</v>
      </c>
      <c r="C1038" s="73">
        <v>23.76</v>
      </c>
      <c r="F1038" s="71">
        <v>997</v>
      </c>
      <c r="H1038" s="72">
        <v>13.854039999999999</v>
      </c>
      <c r="I1038" s="71" t="s">
        <v>139</v>
      </c>
      <c r="R1038" s="71">
        <v>997</v>
      </c>
      <c r="T1038" s="72">
        <v>13.854039999999999</v>
      </c>
      <c r="U1038" s="71" t="s">
        <v>139</v>
      </c>
    </row>
    <row r="1039" spans="1:21" x14ac:dyDescent="0.55000000000000004">
      <c r="A1039" s="71">
        <v>315</v>
      </c>
      <c r="C1039" s="73">
        <v>23.76</v>
      </c>
      <c r="F1039" s="71">
        <v>997</v>
      </c>
      <c r="H1039" s="72">
        <v>15.944039999999999</v>
      </c>
      <c r="I1039" s="71" t="s">
        <v>139</v>
      </c>
      <c r="R1039" s="71">
        <v>997</v>
      </c>
      <c r="T1039" s="72">
        <v>15.944039999999999</v>
      </c>
      <c r="U1039" s="71" t="s">
        <v>139</v>
      </c>
    </row>
    <row r="1040" spans="1:21" x14ac:dyDescent="0.55000000000000004">
      <c r="A1040" s="71">
        <v>883</v>
      </c>
      <c r="C1040" s="73">
        <v>25.26</v>
      </c>
      <c r="F1040" s="71">
        <v>997</v>
      </c>
      <c r="H1040" s="72">
        <v>17.00404</v>
      </c>
      <c r="I1040" s="71" t="s">
        <v>139</v>
      </c>
      <c r="R1040" s="71">
        <v>997</v>
      </c>
      <c r="T1040" s="72">
        <v>17.00404</v>
      </c>
      <c r="U1040" s="71" t="s">
        <v>139</v>
      </c>
    </row>
    <row r="1041" spans="1:21" x14ac:dyDescent="0.55000000000000004">
      <c r="A1041" s="71">
        <v>156</v>
      </c>
      <c r="C1041" s="73">
        <v>26.56</v>
      </c>
      <c r="F1041" s="71">
        <v>997</v>
      </c>
      <c r="H1041" s="72">
        <v>17.00404</v>
      </c>
      <c r="I1041" s="71" t="s">
        <v>139</v>
      </c>
      <c r="R1041" s="71">
        <v>997</v>
      </c>
      <c r="T1041" s="72">
        <v>17.00404</v>
      </c>
      <c r="U1041" s="71" t="s">
        <v>139</v>
      </c>
    </row>
    <row r="1042" spans="1:21" x14ac:dyDescent="0.55000000000000004">
      <c r="A1042" s="71">
        <v>967</v>
      </c>
      <c r="R1042" s="71">
        <v>142</v>
      </c>
      <c r="T1042" s="72">
        <v>19.000800000000002</v>
      </c>
      <c r="U1042" s="71" t="s">
        <v>1</v>
      </c>
    </row>
    <row r="1043" spans="1:21" x14ac:dyDescent="0.55000000000000004">
      <c r="A1043" s="71">
        <v>883</v>
      </c>
      <c r="R1043" s="71">
        <v>142</v>
      </c>
      <c r="T1043" s="72">
        <v>20.28</v>
      </c>
      <c r="U1043" s="71" t="s">
        <v>1</v>
      </c>
    </row>
    <row r="1044" spans="1:21" x14ac:dyDescent="0.55000000000000004">
      <c r="A1044" s="71">
        <v>883</v>
      </c>
      <c r="R1044" s="71">
        <v>142</v>
      </c>
      <c r="T1044" s="72">
        <v>20.765599999999999</v>
      </c>
      <c r="U1044" s="71" t="s">
        <v>1</v>
      </c>
    </row>
    <row r="1045" spans="1:21" x14ac:dyDescent="0.55000000000000004">
      <c r="A1045" s="71">
        <v>883</v>
      </c>
      <c r="R1045" s="71">
        <v>142</v>
      </c>
      <c r="T1045" s="72">
        <v>21.351199999999999</v>
      </c>
      <c r="U1045" s="71" t="s">
        <v>1</v>
      </c>
    </row>
    <row r="1046" spans="1:21" x14ac:dyDescent="0.55000000000000004">
      <c r="A1046" s="71">
        <v>883</v>
      </c>
      <c r="R1046" s="71">
        <v>143</v>
      </c>
      <c r="T1046" s="72">
        <v>16.22</v>
      </c>
      <c r="U1046" s="71" t="s">
        <v>1</v>
      </c>
    </row>
    <row r="1047" spans="1:21" x14ac:dyDescent="0.55000000000000004">
      <c r="A1047" s="71">
        <v>883</v>
      </c>
      <c r="R1047" s="71">
        <v>143</v>
      </c>
      <c r="T1047" s="72">
        <v>17.25</v>
      </c>
      <c r="U1047" s="71" t="s">
        <v>1</v>
      </c>
    </row>
    <row r="1048" spans="1:21" x14ac:dyDescent="0.55000000000000004">
      <c r="A1048" s="71">
        <v>883</v>
      </c>
      <c r="R1048" s="71">
        <v>143</v>
      </c>
      <c r="T1048" s="72">
        <v>21.54</v>
      </c>
      <c r="U1048" s="71" t="s">
        <v>1</v>
      </c>
    </row>
    <row r="1049" spans="1:21" x14ac:dyDescent="0.55000000000000004">
      <c r="A1049" s="71">
        <v>883</v>
      </c>
      <c r="R1049" s="71">
        <v>145</v>
      </c>
      <c r="T1049" s="72">
        <v>20.8</v>
      </c>
      <c r="U1049" s="71" t="s">
        <v>1</v>
      </c>
    </row>
    <row r="1050" spans="1:21" x14ac:dyDescent="0.55000000000000004">
      <c r="A1050" s="71">
        <v>883</v>
      </c>
      <c r="R1050" s="71">
        <v>145</v>
      </c>
      <c r="T1050" s="72">
        <v>22.55</v>
      </c>
      <c r="U1050" s="71" t="s">
        <v>1</v>
      </c>
    </row>
    <row r="1051" spans="1:21" x14ac:dyDescent="0.55000000000000004">
      <c r="A1051" s="71">
        <v>164</v>
      </c>
      <c r="R1051" s="71">
        <v>145</v>
      </c>
      <c r="T1051" s="72">
        <v>24.4</v>
      </c>
      <c r="U1051" s="71" t="s">
        <v>1</v>
      </c>
    </row>
    <row r="1052" spans="1:21" x14ac:dyDescent="0.55000000000000004">
      <c r="A1052" s="71">
        <v>636</v>
      </c>
      <c r="D1052" s="73">
        <v>19.57</v>
      </c>
      <c r="R1052" s="71">
        <v>156</v>
      </c>
      <c r="T1052" s="72">
        <v>15.96</v>
      </c>
      <c r="U1052" s="71" t="s">
        <v>1</v>
      </c>
    </row>
    <row r="1053" spans="1:21" x14ac:dyDescent="0.55000000000000004">
      <c r="A1053" s="71">
        <v>636</v>
      </c>
      <c r="D1053" s="73">
        <v>17.559999999999999</v>
      </c>
      <c r="R1053" s="71">
        <v>156</v>
      </c>
      <c r="T1053" s="72">
        <v>16.100000000000001</v>
      </c>
      <c r="U1053" s="71" t="s">
        <v>1</v>
      </c>
    </row>
    <row r="1054" spans="1:21" x14ac:dyDescent="0.55000000000000004">
      <c r="A1054" s="71">
        <v>636</v>
      </c>
      <c r="D1054" s="73">
        <v>17.66</v>
      </c>
      <c r="R1054" s="71">
        <v>156</v>
      </c>
      <c r="T1054" s="72">
        <v>17.5</v>
      </c>
      <c r="U1054" s="71" t="s">
        <v>1</v>
      </c>
    </row>
    <row r="1055" spans="1:21" x14ac:dyDescent="0.55000000000000004">
      <c r="A1055" s="71">
        <v>644</v>
      </c>
      <c r="D1055" s="73">
        <v>18.11</v>
      </c>
      <c r="R1055" s="71">
        <v>156</v>
      </c>
      <c r="T1055" s="72">
        <v>20.8</v>
      </c>
      <c r="U1055" s="71" t="s">
        <v>1</v>
      </c>
    </row>
    <row r="1056" spans="1:21" x14ac:dyDescent="0.55000000000000004">
      <c r="A1056" s="71">
        <v>766</v>
      </c>
      <c r="D1056" s="73">
        <v>18.91</v>
      </c>
      <c r="R1056" s="71">
        <v>156</v>
      </c>
      <c r="T1056" s="72">
        <v>21.65</v>
      </c>
      <c r="U1056" s="71" t="s">
        <v>1</v>
      </c>
    </row>
    <row r="1057" spans="1:21" x14ac:dyDescent="0.55000000000000004">
      <c r="A1057" s="71">
        <v>766</v>
      </c>
      <c r="D1057" s="73">
        <v>20.765599999999999</v>
      </c>
      <c r="R1057" s="71">
        <v>156</v>
      </c>
      <c r="T1057" s="72">
        <v>23.59</v>
      </c>
      <c r="U1057" s="71" t="s">
        <v>1</v>
      </c>
    </row>
    <row r="1058" spans="1:21" x14ac:dyDescent="0.55000000000000004">
      <c r="A1058" s="71">
        <v>766</v>
      </c>
      <c r="D1058" s="73">
        <v>20.28</v>
      </c>
      <c r="R1058" s="71">
        <v>164</v>
      </c>
      <c r="T1058" s="72">
        <v>17.690000000000001</v>
      </c>
      <c r="U1058" s="71" t="s">
        <v>1</v>
      </c>
    </row>
    <row r="1059" spans="1:21" x14ac:dyDescent="0.55000000000000004">
      <c r="A1059" s="71">
        <v>766</v>
      </c>
      <c r="D1059" s="73">
        <v>21.351199999999999</v>
      </c>
      <c r="R1059" s="71">
        <v>164</v>
      </c>
      <c r="T1059" s="72">
        <v>17.690000000000001</v>
      </c>
      <c r="U1059" s="71" t="s">
        <v>1</v>
      </c>
    </row>
    <row r="1060" spans="1:21" x14ac:dyDescent="0.55000000000000004">
      <c r="A1060" s="71">
        <v>766</v>
      </c>
      <c r="D1060" s="73">
        <v>19.000800000000002</v>
      </c>
      <c r="R1060" s="71">
        <v>164</v>
      </c>
      <c r="T1060" s="72">
        <v>18.399999999999999</v>
      </c>
      <c r="U1060" s="71" t="s">
        <v>1</v>
      </c>
    </row>
    <row r="1061" spans="1:21" x14ac:dyDescent="0.55000000000000004">
      <c r="A1061" s="71">
        <v>766</v>
      </c>
      <c r="D1061" s="73">
        <v>18.190000000000001</v>
      </c>
      <c r="R1061" s="71">
        <v>164</v>
      </c>
      <c r="T1061" s="72">
        <v>19.14</v>
      </c>
      <c r="U1061" s="71" t="s">
        <v>1</v>
      </c>
    </row>
    <row r="1062" spans="1:21" x14ac:dyDescent="0.55000000000000004">
      <c r="A1062" s="71">
        <v>766</v>
      </c>
      <c r="D1062" s="73">
        <v>23.05</v>
      </c>
      <c r="R1062" s="71">
        <v>164</v>
      </c>
      <c r="T1062" s="72">
        <v>19.920000000000002</v>
      </c>
      <c r="U1062" s="71" t="s">
        <v>1</v>
      </c>
    </row>
    <row r="1063" spans="1:21" x14ac:dyDescent="0.55000000000000004">
      <c r="A1063" s="71">
        <v>346</v>
      </c>
      <c r="D1063" s="73">
        <v>25.16</v>
      </c>
      <c r="R1063" s="71">
        <v>164</v>
      </c>
      <c r="T1063" s="72">
        <v>20.32</v>
      </c>
      <c r="U1063" s="71" t="s">
        <v>1</v>
      </c>
    </row>
    <row r="1064" spans="1:21" x14ac:dyDescent="0.55000000000000004">
      <c r="A1064" s="71">
        <v>346</v>
      </c>
      <c r="D1064" s="73">
        <v>25.16</v>
      </c>
      <c r="R1064" s="71">
        <v>164</v>
      </c>
      <c r="T1064" s="72">
        <v>23.34</v>
      </c>
      <c r="U1064" s="71" t="s">
        <v>1</v>
      </c>
    </row>
    <row r="1065" spans="1:21" x14ac:dyDescent="0.55000000000000004">
      <c r="A1065" s="71">
        <v>828</v>
      </c>
      <c r="D1065" s="73">
        <v>25.16</v>
      </c>
      <c r="R1065" s="71">
        <v>164</v>
      </c>
      <c r="T1065" s="72">
        <v>23.34</v>
      </c>
      <c r="U1065" s="71" t="s">
        <v>1</v>
      </c>
    </row>
    <row r="1066" spans="1:21" x14ac:dyDescent="0.55000000000000004">
      <c r="A1066" s="71">
        <v>828</v>
      </c>
      <c r="D1066" s="73">
        <v>25.91</v>
      </c>
      <c r="R1066" s="71">
        <v>170</v>
      </c>
      <c r="T1066" s="72">
        <v>16</v>
      </c>
      <c r="U1066" s="71" t="s">
        <v>1</v>
      </c>
    </row>
    <row r="1067" spans="1:21" x14ac:dyDescent="0.55000000000000004">
      <c r="A1067" s="71">
        <v>828</v>
      </c>
      <c r="D1067" s="73">
        <v>26.69</v>
      </c>
      <c r="R1067" s="71">
        <v>170</v>
      </c>
      <c r="T1067" s="72">
        <v>16</v>
      </c>
      <c r="U1067" s="71" t="s">
        <v>1</v>
      </c>
    </row>
    <row r="1068" spans="1:21" x14ac:dyDescent="0.55000000000000004">
      <c r="A1068" s="71">
        <v>828</v>
      </c>
      <c r="R1068" s="71">
        <v>170</v>
      </c>
      <c r="T1068" s="72">
        <v>16</v>
      </c>
      <c r="U1068" s="71" t="s">
        <v>1</v>
      </c>
    </row>
    <row r="1069" spans="1:21" x14ac:dyDescent="0.55000000000000004">
      <c r="A1069" s="71">
        <v>828</v>
      </c>
      <c r="R1069" s="71">
        <v>173</v>
      </c>
      <c r="T1069" s="72">
        <v>18.5</v>
      </c>
      <c r="U1069" s="71" t="s">
        <v>1</v>
      </c>
    </row>
    <row r="1070" spans="1:21" x14ac:dyDescent="0.55000000000000004">
      <c r="A1070" s="71">
        <v>828</v>
      </c>
      <c r="R1070" s="71">
        <v>173</v>
      </c>
      <c r="T1070" s="72">
        <v>19.2</v>
      </c>
      <c r="U1070" s="71" t="s">
        <v>1</v>
      </c>
    </row>
    <row r="1071" spans="1:21" x14ac:dyDescent="0.55000000000000004">
      <c r="A1071" s="71">
        <v>828</v>
      </c>
      <c r="R1071" s="71">
        <v>173</v>
      </c>
      <c r="T1071" s="72">
        <v>19.649999999999999</v>
      </c>
      <c r="U1071" s="71" t="s">
        <v>1</v>
      </c>
    </row>
    <row r="1072" spans="1:21" x14ac:dyDescent="0.55000000000000004">
      <c r="A1072" s="71">
        <v>828</v>
      </c>
      <c r="R1072" s="71">
        <v>173</v>
      </c>
      <c r="T1072" s="72">
        <v>20.8</v>
      </c>
      <c r="U1072" s="71" t="s">
        <v>1</v>
      </c>
    </row>
    <row r="1073" spans="1:21" x14ac:dyDescent="0.55000000000000004">
      <c r="A1073" s="71">
        <v>828</v>
      </c>
      <c r="R1073" s="71">
        <v>178</v>
      </c>
      <c r="T1073" s="72">
        <v>18.399999999999999</v>
      </c>
      <c r="U1073" s="71" t="s">
        <v>1</v>
      </c>
    </row>
    <row r="1074" spans="1:21" x14ac:dyDescent="0.55000000000000004">
      <c r="A1074" s="71">
        <v>828</v>
      </c>
      <c r="R1074" s="71">
        <v>178</v>
      </c>
      <c r="T1074" s="72">
        <v>20.149999999999999</v>
      </c>
      <c r="U1074" s="71" t="s">
        <v>1</v>
      </c>
    </row>
    <row r="1075" spans="1:21" x14ac:dyDescent="0.55000000000000004">
      <c r="A1075" s="71">
        <v>828</v>
      </c>
      <c r="R1075" s="71">
        <v>178</v>
      </c>
      <c r="T1075" s="72">
        <v>22.65</v>
      </c>
      <c r="U1075" s="71" t="s">
        <v>1</v>
      </c>
    </row>
    <row r="1076" spans="1:21" x14ac:dyDescent="0.55000000000000004">
      <c r="A1076" s="71">
        <v>828</v>
      </c>
      <c r="R1076" s="71">
        <v>183</v>
      </c>
      <c r="T1076" s="72">
        <v>20.329999999999998</v>
      </c>
      <c r="U1076" s="71" t="s">
        <v>1</v>
      </c>
    </row>
    <row r="1077" spans="1:21" x14ac:dyDescent="0.55000000000000004">
      <c r="A1077" s="71">
        <v>828</v>
      </c>
      <c r="R1077" s="71">
        <v>203</v>
      </c>
      <c r="T1077" s="72">
        <v>17.95</v>
      </c>
      <c r="U1077" s="71" t="s">
        <v>1</v>
      </c>
    </row>
    <row r="1078" spans="1:21" x14ac:dyDescent="0.55000000000000004">
      <c r="A1078" s="71">
        <v>726</v>
      </c>
      <c r="R1078" s="71">
        <v>203</v>
      </c>
      <c r="T1078" s="72">
        <v>18.649999999999999</v>
      </c>
      <c r="U1078" s="71" t="s">
        <v>1</v>
      </c>
    </row>
    <row r="1079" spans="1:21" x14ac:dyDescent="0.55000000000000004">
      <c r="A1079" s="71">
        <v>510</v>
      </c>
      <c r="R1079" s="71">
        <v>205</v>
      </c>
      <c r="T1079" s="72">
        <v>20</v>
      </c>
      <c r="U1079" s="71" t="s">
        <v>1</v>
      </c>
    </row>
    <row r="1080" spans="1:21" x14ac:dyDescent="0.55000000000000004">
      <c r="A1080" s="71">
        <v>510</v>
      </c>
      <c r="R1080" s="71">
        <v>205</v>
      </c>
      <c r="T1080" s="72">
        <v>20</v>
      </c>
      <c r="U1080" s="71" t="s">
        <v>1</v>
      </c>
    </row>
    <row r="1081" spans="1:21" x14ac:dyDescent="0.55000000000000004">
      <c r="A1081" s="71">
        <v>510</v>
      </c>
      <c r="R1081" s="71">
        <v>205</v>
      </c>
      <c r="T1081" s="72">
        <v>20</v>
      </c>
      <c r="U1081" s="71" t="s">
        <v>1</v>
      </c>
    </row>
    <row r="1082" spans="1:21" x14ac:dyDescent="0.55000000000000004">
      <c r="A1082" s="71">
        <v>510</v>
      </c>
      <c r="R1082" s="71">
        <v>205</v>
      </c>
      <c r="T1082" s="72">
        <v>20</v>
      </c>
      <c r="U1082" s="71" t="s">
        <v>1</v>
      </c>
    </row>
    <row r="1083" spans="1:21" x14ac:dyDescent="0.55000000000000004">
      <c r="A1083" s="71">
        <v>222</v>
      </c>
      <c r="C1083" s="74"/>
      <c r="D1083" s="74"/>
      <c r="R1083" s="71">
        <v>212</v>
      </c>
      <c r="T1083" s="72">
        <v>17.5</v>
      </c>
      <c r="U1083" s="71" t="s">
        <v>1</v>
      </c>
    </row>
    <row r="1084" spans="1:21" x14ac:dyDescent="0.55000000000000004">
      <c r="A1084" s="71">
        <v>222</v>
      </c>
      <c r="C1084" s="74"/>
      <c r="D1084" s="74">
        <v>17.670000000000002</v>
      </c>
      <c r="R1084" s="71">
        <v>212</v>
      </c>
      <c r="T1084" s="72">
        <v>17.5</v>
      </c>
      <c r="U1084" s="71" t="s">
        <v>1</v>
      </c>
    </row>
    <row r="1085" spans="1:21" x14ac:dyDescent="0.55000000000000004">
      <c r="A1085" s="71">
        <v>222</v>
      </c>
      <c r="C1085" s="74"/>
      <c r="D1085" s="74">
        <v>24.25</v>
      </c>
      <c r="R1085" s="71">
        <v>212</v>
      </c>
      <c r="T1085" s="72">
        <v>18.420000000000002</v>
      </c>
      <c r="U1085" s="71" t="s">
        <v>1</v>
      </c>
    </row>
    <row r="1086" spans="1:21" x14ac:dyDescent="0.55000000000000004">
      <c r="A1086" s="71">
        <v>701</v>
      </c>
      <c r="D1086" s="73">
        <v>24.25</v>
      </c>
      <c r="R1086" s="71">
        <v>212</v>
      </c>
      <c r="T1086" s="72">
        <v>18.64</v>
      </c>
      <c r="U1086" s="71" t="s">
        <v>1</v>
      </c>
    </row>
    <row r="1087" spans="1:21" x14ac:dyDescent="0.55000000000000004">
      <c r="A1087" s="71">
        <v>701</v>
      </c>
      <c r="D1087" s="73">
        <v>18.38</v>
      </c>
      <c r="R1087" s="71">
        <v>218</v>
      </c>
      <c r="T1087" s="72">
        <v>21.5</v>
      </c>
      <c r="U1087" s="71" t="s">
        <v>1</v>
      </c>
    </row>
    <row r="1088" spans="1:21" x14ac:dyDescent="0.55000000000000004">
      <c r="A1088" s="71">
        <v>701</v>
      </c>
      <c r="D1088" s="73">
        <v>19.12</v>
      </c>
      <c r="R1088" s="71">
        <v>222</v>
      </c>
      <c r="T1088" s="72">
        <v>14.74</v>
      </c>
      <c r="U1088" s="71" t="s">
        <v>1</v>
      </c>
    </row>
    <row r="1089" spans="1:21" x14ac:dyDescent="0.55000000000000004">
      <c r="A1089" s="71">
        <v>701</v>
      </c>
      <c r="R1089" s="71">
        <v>222</v>
      </c>
      <c r="T1089" s="72">
        <v>15.5</v>
      </c>
      <c r="U1089" s="71" t="s">
        <v>1</v>
      </c>
    </row>
    <row r="1090" spans="1:21" x14ac:dyDescent="0.55000000000000004">
      <c r="A1090" s="71">
        <v>701</v>
      </c>
      <c r="R1090" s="71">
        <v>222</v>
      </c>
      <c r="T1090" s="72">
        <v>15.88</v>
      </c>
      <c r="U1090" s="71" t="s">
        <v>1</v>
      </c>
    </row>
    <row r="1091" spans="1:21" x14ac:dyDescent="0.55000000000000004">
      <c r="A1091" s="71">
        <v>170</v>
      </c>
      <c r="R1091" s="71">
        <v>222</v>
      </c>
      <c r="T1091" s="72">
        <v>17.02</v>
      </c>
      <c r="U1091" s="71" t="s">
        <v>1</v>
      </c>
    </row>
    <row r="1092" spans="1:21" x14ac:dyDescent="0.55000000000000004">
      <c r="A1092" s="71">
        <v>170</v>
      </c>
      <c r="D1092" s="73">
        <v>19.43</v>
      </c>
      <c r="R1092" s="71">
        <v>234</v>
      </c>
      <c r="T1092" s="72">
        <v>17</v>
      </c>
      <c r="U1092" s="71" t="s">
        <v>1</v>
      </c>
    </row>
    <row r="1093" spans="1:21" x14ac:dyDescent="0.55000000000000004">
      <c r="A1093" s="71">
        <v>910</v>
      </c>
      <c r="D1093" s="73">
        <v>21.25</v>
      </c>
      <c r="R1093" s="71">
        <v>234</v>
      </c>
      <c r="T1093" s="72">
        <v>17</v>
      </c>
      <c r="U1093" s="71" t="s">
        <v>1</v>
      </c>
    </row>
    <row r="1094" spans="1:21" x14ac:dyDescent="0.55000000000000004">
      <c r="A1094" s="71">
        <v>777</v>
      </c>
      <c r="D1094" s="73">
        <v>21.25</v>
      </c>
      <c r="R1094" s="71">
        <v>234</v>
      </c>
      <c r="T1094" s="72">
        <v>17.5</v>
      </c>
      <c r="U1094" s="71" t="s">
        <v>1</v>
      </c>
    </row>
    <row r="1095" spans="1:21" x14ac:dyDescent="0.55000000000000004">
      <c r="A1095" s="71">
        <v>142</v>
      </c>
      <c r="R1095" s="71">
        <v>234</v>
      </c>
      <c r="T1095" s="72">
        <v>18</v>
      </c>
      <c r="U1095" s="71" t="s">
        <v>1</v>
      </c>
    </row>
    <row r="1096" spans="1:21" x14ac:dyDescent="0.55000000000000004">
      <c r="A1096" s="71">
        <v>142</v>
      </c>
      <c r="R1096" s="71">
        <v>234</v>
      </c>
      <c r="T1096" s="72">
        <v>18.75</v>
      </c>
      <c r="U1096" s="71" t="s">
        <v>1</v>
      </c>
    </row>
    <row r="1097" spans="1:21" x14ac:dyDescent="0.55000000000000004">
      <c r="R1097" s="71">
        <v>263</v>
      </c>
      <c r="T1097" s="72">
        <v>20.81</v>
      </c>
      <c r="U1097" s="71" t="s">
        <v>1</v>
      </c>
    </row>
    <row r="1098" spans="1:21" x14ac:dyDescent="0.55000000000000004">
      <c r="R1098" s="71">
        <v>263</v>
      </c>
      <c r="T1098" s="72">
        <v>20.81</v>
      </c>
      <c r="U1098" s="71" t="s">
        <v>1</v>
      </c>
    </row>
    <row r="1099" spans="1:21" x14ac:dyDescent="0.55000000000000004">
      <c r="R1099" s="71">
        <v>268</v>
      </c>
      <c r="T1099" s="72">
        <v>19.82</v>
      </c>
      <c r="U1099" s="71" t="s">
        <v>1</v>
      </c>
    </row>
    <row r="1100" spans="1:21" x14ac:dyDescent="0.55000000000000004">
      <c r="R1100" s="71">
        <v>268</v>
      </c>
      <c r="T1100" s="72">
        <v>20</v>
      </c>
      <c r="U1100" s="71" t="s">
        <v>1</v>
      </c>
    </row>
    <row r="1101" spans="1:21" x14ac:dyDescent="0.55000000000000004">
      <c r="R1101" s="71">
        <v>268</v>
      </c>
      <c r="T1101" s="72">
        <v>23.77</v>
      </c>
      <c r="U1101" s="71" t="s">
        <v>1</v>
      </c>
    </row>
    <row r="1102" spans="1:21" x14ac:dyDescent="0.55000000000000004">
      <c r="R1102" s="71">
        <v>277</v>
      </c>
      <c r="T1102" s="72">
        <v>21.155200000000001</v>
      </c>
      <c r="U1102" s="71" t="s">
        <v>1</v>
      </c>
    </row>
    <row r="1103" spans="1:21" x14ac:dyDescent="0.55000000000000004">
      <c r="R1103" s="71">
        <v>277</v>
      </c>
      <c r="T1103" s="72">
        <v>21.556000000000001</v>
      </c>
      <c r="U1103" s="71" t="s">
        <v>1</v>
      </c>
    </row>
    <row r="1104" spans="1:21" x14ac:dyDescent="0.55000000000000004">
      <c r="C1104" s="73">
        <v>16.059999999999999</v>
      </c>
      <c r="R1104" s="71">
        <v>277</v>
      </c>
      <c r="T1104" s="72">
        <v>25.42</v>
      </c>
      <c r="U1104" s="71" t="s">
        <v>1</v>
      </c>
    </row>
    <row r="1105" spans="3:21" x14ac:dyDescent="0.55000000000000004">
      <c r="C1105" s="73">
        <v>16.529848339934773</v>
      </c>
      <c r="R1105" s="71">
        <v>277</v>
      </c>
      <c r="T1105" s="72">
        <v>25.426600000000001</v>
      </c>
      <c r="U1105" s="71" t="s">
        <v>1</v>
      </c>
    </row>
    <row r="1106" spans="3:21" x14ac:dyDescent="0.55000000000000004">
      <c r="C1106" s="73">
        <v>10.5</v>
      </c>
      <c r="R1106" s="71">
        <v>288</v>
      </c>
      <c r="T1106" s="72">
        <v>17.5</v>
      </c>
      <c r="U1106" s="71" t="s">
        <v>1</v>
      </c>
    </row>
    <row r="1107" spans="3:21" x14ac:dyDescent="0.55000000000000004">
      <c r="C1107" s="73">
        <v>26.56</v>
      </c>
      <c r="R1107" s="71">
        <v>288</v>
      </c>
      <c r="T1107" s="72">
        <v>21.67</v>
      </c>
      <c r="U1107" s="71" t="s">
        <v>1</v>
      </c>
    </row>
    <row r="1108" spans="3:21" x14ac:dyDescent="0.55000000000000004">
      <c r="C1108" s="73">
        <v>15.25</v>
      </c>
      <c r="R1108" s="71">
        <v>288</v>
      </c>
      <c r="T1108" s="72">
        <v>21.67</v>
      </c>
      <c r="U1108" s="71" t="s">
        <v>1</v>
      </c>
    </row>
    <row r="1109" spans="3:21" x14ac:dyDescent="0.55000000000000004">
      <c r="C1109" s="73">
        <v>17.5</v>
      </c>
      <c r="R1109" s="71">
        <v>313</v>
      </c>
      <c r="T1109" s="72">
        <v>17.437000000000001</v>
      </c>
      <c r="U1109" s="71" t="s">
        <v>1</v>
      </c>
    </row>
    <row r="1110" spans="3:21" x14ac:dyDescent="0.55000000000000004">
      <c r="R1110" s="71">
        <v>313</v>
      </c>
      <c r="T1110" s="72">
        <v>17.82</v>
      </c>
      <c r="U1110" s="71" t="s">
        <v>1</v>
      </c>
    </row>
    <row r="1111" spans="3:21" x14ac:dyDescent="0.55000000000000004">
      <c r="R1111" s="71">
        <v>313</v>
      </c>
      <c r="T1111" s="72">
        <v>20</v>
      </c>
      <c r="U1111" s="71" t="s">
        <v>1</v>
      </c>
    </row>
    <row r="1112" spans="3:21" x14ac:dyDescent="0.55000000000000004">
      <c r="R1112" s="71">
        <v>313</v>
      </c>
      <c r="T1112" s="72">
        <v>22.15</v>
      </c>
      <c r="U1112" s="71" t="s">
        <v>1</v>
      </c>
    </row>
    <row r="1113" spans="3:21" x14ac:dyDescent="0.55000000000000004">
      <c r="R1113" s="71">
        <v>315</v>
      </c>
      <c r="T1113" s="72">
        <v>18.190000000000001</v>
      </c>
      <c r="U1113" s="71" t="s">
        <v>1</v>
      </c>
    </row>
    <row r="1114" spans="3:21" x14ac:dyDescent="0.55000000000000004">
      <c r="R1114" s="71">
        <v>315</v>
      </c>
      <c r="T1114" s="72">
        <v>23.05</v>
      </c>
      <c r="U1114" s="71" t="s">
        <v>1</v>
      </c>
    </row>
    <row r="1115" spans="3:21" x14ac:dyDescent="0.55000000000000004">
      <c r="R1115" s="71">
        <v>315</v>
      </c>
      <c r="T1115" s="72">
        <v>25.16</v>
      </c>
      <c r="U1115" s="71" t="s">
        <v>1</v>
      </c>
    </row>
    <row r="1116" spans="3:21" x14ac:dyDescent="0.55000000000000004">
      <c r="R1116" s="71">
        <v>315</v>
      </c>
      <c r="T1116" s="72">
        <v>25.16</v>
      </c>
      <c r="U1116" s="71" t="s">
        <v>1</v>
      </c>
    </row>
    <row r="1117" spans="3:21" x14ac:dyDescent="0.55000000000000004">
      <c r="R1117" s="71">
        <v>315</v>
      </c>
      <c r="T1117" s="72">
        <v>25.16</v>
      </c>
      <c r="U1117" s="71" t="s">
        <v>1</v>
      </c>
    </row>
    <row r="1118" spans="3:21" x14ac:dyDescent="0.55000000000000004">
      <c r="R1118" s="71">
        <v>315</v>
      </c>
      <c r="T1118" s="72">
        <v>25.91</v>
      </c>
      <c r="U1118" s="71" t="s">
        <v>1</v>
      </c>
    </row>
    <row r="1119" spans="3:21" x14ac:dyDescent="0.55000000000000004">
      <c r="R1119" s="71">
        <v>315</v>
      </c>
      <c r="T1119" s="72">
        <v>26.69</v>
      </c>
      <c r="U1119" s="71" t="s">
        <v>1</v>
      </c>
    </row>
    <row r="1120" spans="3:21" x14ac:dyDescent="0.55000000000000004">
      <c r="R1120" s="71">
        <v>316</v>
      </c>
      <c r="T1120" s="72">
        <v>19</v>
      </c>
      <c r="U1120" s="71" t="s">
        <v>1</v>
      </c>
    </row>
    <row r="1121" spans="18:21" x14ac:dyDescent="0.55000000000000004">
      <c r="R1121" s="71">
        <v>316</v>
      </c>
      <c r="T1121" s="72">
        <v>21</v>
      </c>
      <c r="U1121" s="71" t="s">
        <v>1</v>
      </c>
    </row>
    <row r="1122" spans="18:21" x14ac:dyDescent="0.55000000000000004">
      <c r="R1122" s="71">
        <v>316</v>
      </c>
      <c r="T1122" s="72">
        <v>21.25</v>
      </c>
      <c r="U1122" s="71" t="s">
        <v>1</v>
      </c>
    </row>
    <row r="1123" spans="18:21" x14ac:dyDescent="0.55000000000000004">
      <c r="R1123" s="71">
        <v>316</v>
      </c>
      <c r="T1123" s="72">
        <v>25</v>
      </c>
      <c r="U1123" s="71" t="s">
        <v>1</v>
      </c>
    </row>
    <row r="1124" spans="18:21" x14ac:dyDescent="0.55000000000000004">
      <c r="R1124" s="71">
        <v>318</v>
      </c>
      <c r="T1124" s="72">
        <v>20</v>
      </c>
      <c r="U1124" s="71" t="s">
        <v>1</v>
      </c>
    </row>
    <row r="1125" spans="18:21" x14ac:dyDescent="0.55000000000000004">
      <c r="R1125" s="71">
        <v>318</v>
      </c>
      <c r="T1125" s="72">
        <v>20.75</v>
      </c>
      <c r="U1125" s="71" t="s">
        <v>1</v>
      </c>
    </row>
    <row r="1126" spans="18:21" x14ac:dyDescent="0.55000000000000004">
      <c r="R1126" s="71">
        <v>318</v>
      </c>
      <c r="T1126" s="72">
        <v>21</v>
      </c>
      <c r="U1126" s="71" t="s">
        <v>1</v>
      </c>
    </row>
    <row r="1127" spans="18:21" x14ac:dyDescent="0.55000000000000004">
      <c r="R1127" s="71">
        <v>318</v>
      </c>
      <c r="T1127" s="72">
        <v>22</v>
      </c>
      <c r="U1127" s="71" t="s">
        <v>1</v>
      </c>
    </row>
    <row r="1128" spans="18:21" x14ac:dyDescent="0.55000000000000004">
      <c r="R1128" s="71">
        <v>318</v>
      </c>
      <c r="T1128" s="72">
        <v>22.5</v>
      </c>
      <c r="U1128" s="71" t="s">
        <v>1</v>
      </c>
    </row>
    <row r="1129" spans="18:21" x14ac:dyDescent="0.55000000000000004">
      <c r="R1129" s="71">
        <v>336</v>
      </c>
      <c r="T1129" s="72">
        <v>19.43</v>
      </c>
      <c r="U1129" s="71" t="s">
        <v>1</v>
      </c>
    </row>
    <row r="1130" spans="18:21" x14ac:dyDescent="0.55000000000000004">
      <c r="R1130" s="71">
        <v>336</v>
      </c>
      <c r="T1130" s="72">
        <v>21.25</v>
      </c>
      <c r="U1130" s="71" t="s">
        <v>1</v>
      </c>
    </row>
    <row r="1131" spans="18:21" x14ac:dyDescent="0.55000000000000004">
      <c r="R1131" s="71">
        <v>336</v>
      </c>
      <c r="T1131" s="72">
        <v>21.25</v>
      </c>
      <c r="U1131" s="71" t="s">
        <v>1</v>
      </c>
    </row>
    <row r="1132" spans="18:21" x14ac:dyDescent="0.55000000000000004">
      <c r="R1132" s="71">
        <v>346</v>
      </c>
      <c r="T1132" s="72">
        <v>17</v>
      </c>
      <c r="U1132" s="71" t="s">
        <v>1</v>
      </c>
    </row>
    <row r="1133" spans="18:21" x14ac:dyDescent="0.55000000000000004">
      <c r="R1133" s="71">
        <v>346</v>
      </c>
      <c r="T1133" s="72">
        <v>19</v>
      </c>
      <c r="U1133" s="71" t="s">
        <v>1</v>
      </c>
    </row>
    <row r="1134" spans="18:21" x14ac:dyDescent="0.55000000000000004">
      <c r="R1134" s="71">
        <v>346</v>
      </c>
      <c r="T1134" s="72">
        <v>19.5</v>
      </c>
      <c r="U1134" s="71" t="s">
        <v>1</v>
      </c>
    </row>
    <row r="1135" spans="18:21" x14ac:dyDescent="0.55000000000000004">
      <c r="R1135" s="71">
        <v>346</v>
      </c>
      <c r="T1135" s="72">
        <v>19.5</v>
      </c>
      <c r="U1135" s="71" t="s">
        <v>1</v>
      </c>
    </row>
    <row r="1136" spans="18:21" x14ac:dyDescent="0.55000000000000004">
      <c r="R1136" s="71">
        <v>351</v>
      </c>
      <c r="T1136" s="72">
        <v>17</v>
      </c>
      <c r="U1136" s="71" t="s">
        <v>1</v>
      </c>
    </row>
    <row r="1137" spans="18:21" x14ac:dyDescent="0.55000000000000004">
      <c r="R1137" s="71">
        <v>351</v>
      </c>
      <c r="T1137" s="72">
        <v>17.329999999999998</v>
      </c>
      <c r="U1137" s="71" t="s">
        <v>1</v>
      </c>
    </row>
    <row r="1138" spans="18:21" x14ac:dyDescent="0.55000000000000004">
      <c r="R1138" s="71">
        <v>351</v>
      </c>
      <c r="T1138" s="72">
        <v>18.41</v>
      </c>
      <c r="U1138" s="71" t="s">
        <v>1</v>
      </c>
    </row>
    <row r="1139" spans="18:21" x14ac:dyDescent="0.55000000000000004">
      <c r="R1139" s="71">
        <v>351</v>
      </c>
      <c r="T1139" s="72">
        <v>18.41</v>
      </c>
      <c r="U1139" s="71" t="s">
        <v>1</v>
      </c>
    </row>
    <row r="1140" spans="18:21" x14ac:dyDescent="0.55000000000000004">
      <c r="R1140" s="71">
        <v>351</v>
      </c>
      <c r="T1140" s="72">
        <v>18.78</v>
      </c>
      <c r="U1140" s="71" t="s">
        <v>1</v>
      </c>
    </row>
    <row r="1141" spans="18:21" x14ac:dyDescent="0.55000000000000004">
      <c r="R1141" s="71">
        <v>351</v>
      </c>
      <c r="T1141" s="72">
        <v>19.920000000000002</v>
      </c>
      <c r="U1141" s="71" t="s">
        <v>1</v>
      </c>
    </row>
    <row r="1142" spans="18:21" x14ac:dyDescent="0.55000000000000004">
      <c r="R1142" s="71">
        <v>351</v>
      </c>
      <c r="T1142" s="72">
        <v>20.32</v>
      </c>
      <c r="U1142" s="71" t="s">
        <v>1</v>
      </c>
    </row>
    <row r="1143" spans="18:21" x14ac:dyDescent="0.55000000000000004">
      <c r="R1143" s="71">
        <v>380</v>
      </c>
      <c r="T1143" s="72">
        <v>22.51</v>
      </c>
      <c r="U1143" s="71" t="s">
        <v>1</v>
      </c>
    </row>
    <row r="1144" spans="18:21" x14ac:dyDescent="0.55000000000000004">
      <c r="R1144" s="71">
        <v>380</v>
      </c>
      <c r="T1144" s="72">
        <v>24.78</v>
      </c>
      <c r="U1144" s="71" t="s">
        <v>1</v>
      </c>
    </row>
    <row r="1145" spans="18:21" x14ac:dyDescent="0.55000000000000004">
      <c r="R1145" s="71">
        <v>380</v>
      </c>
      <c r="T1145" s="72">
        <v>26.41</v>
      </c>
      <c r="U1145" s="71" t="s">
        <v>1</v>
      </c>
    </row>
    <row r="1146" spans="18:21" x14ac:dyDescent="0.55000000000000004">
      <c r="R1146" s="71">
        <v>380</v>
      </c>
      <c r="T1146" s="72">
        <v>26.41</v>
      </c>
      <c r="U1146" s="71" t="s">
        <v>1</v>
      </c>
    </row>
    <row r="1147" spans="18:21" x14ac:dyDescent="0.55000000000000004">
      <c r="R1147" s="71">
        <v>380</v>
      </c>
      <c r="T1147" s="72">
        <v>26.41</v>
      </c>
      <c r="U1147" s="71" t="s">
        <v>1</v>
      </c>
    </row>
    <row r="1148" spans="18:21" x14ac:dyDescent="0.55000000000000004">
      <c r="R1148" s="71">
        <v>380</v>
      </c>
      <c r="T1148" s="72">
        <v>26.41</v>
      </c>
      <c r="U1148" s="71" t="s">
        <v>1</v>
      </c>
    </row>
    <row r="1149" spans="18:21" x14ac:dyDescent="0.55000000000000004">
      <c r="R1149" s="71">
        <v>383</v>
      </c>
      <c r="T1149" s="72">
        <v>21.5</v>
      </c>
      <c r="U1149" s="71" t="s">
        <v>1</v>
      </c>
    </row>
    <row r="1150" spans="18:21" x14ac:dyDescent="0.55000000000000004">
      <c r="R1150" s="71">
        <v>383</v>
      </c>
      <c r="T1150" s="72">
        <v>23</v>
      </c>
      <c r="U1150" s="71" t="s">
        <v>1</v>
      </c>
    </row>
    <row r="1151" spans="18:21" x14ac:dyDescent="0.55000000000000004">
      <c r="R1151" s="71">
        <v>383</v>
      </c>
      <c r="T1151" s="72">
        <v>23.47</v>
      </c>
      <c r="U1151" s="71" t="s">
        <v>1</v>
      </c>
    </row>
    <row r="1152" spans="18:21" x14ac:dyDescent="0.55000000000000004">
      <c r="R1152" s="71">
        <v>385</v>
      </c>
      <c r="T1152" s="72">
        <v>18.28</v>
      </c>
      <c r="U1152" s="71" t="s">
        <v>1</v>
      </c>
    </row>
    <row r="1153" spans="18:21" x14ac:dyDescent="0.55000000000000004">
      <c r="R1153" s="71">
        <v>385</v>
      </c>
      <c r="T1153" s="72">
        <v>18.54</v>
      </c>
      <c r="U1153" s="71" t="s">
        <v>1</v>
      </c>
    </row>
    <row r="1154" spans="18:21" x14ac:dyDescent="0.55000000000000004">
      <c r="R1154" s="71">
        <v>385</v>
      </c>
      <c r="T1154" s="72">
        <v>18.8</v>
      </c>
      <c r="U1154" s="71" t="s">
        <v>1</v>
      </c>
    </row>
    <row r="1155" spans="18:21" x14ac:dyDescent="0.55000000000000004">
      <c r="R1155" s="71">
        <v>420</v>
      </c>
      <c r="T1155" s="72">
        <v>15</v>
      </c>
      <c r="U1155" s="71" t="s">
        <v>1</v>
      </c>
    </row>
    <row r="1156" spans="18:21" x14ac:dyDescent="0.55000000000000004">
      <c r="R1156" s="71">
        <v>420</v>
      </c>
      <c r="T1156" s="72">
        <v>16.75</v>
      </c>
      <c r="U1156" s="71" t="s">
        <v>1</v>
      </c>
    </row>
    <row r="1157" spans="18:21" x14ac:dyDescent="0.55000000000000004">
      <c r="R1157" s="71">
        <v>421</v>
      </c>
      <c r="T1157" s="72">
        <v>16.239999999999998</v>
      </c>
      <c r="U1157" s="71" t="s">
        <v>1</v>
      </c>
    </row>
    <row r="1158" spans="18:21" x14ac:dyDescent="0.55000000000000004">
      <c r="R1158" s="71">
        <v>421</v>
      </c>
      <c r="T1158" s="72">
        <v>16.73</v>
      </c>
      <c r="U1158" s="71" t="s">
        <v>1</v>
      </c>
    </row>
    <row r="1159" spans="18:21" x14ac:dyDescent="0.55000000000000004">
      <c r="R1159" s="71">
        <v>421</v>
      </c>
      <c r="T1159" s="72">
        <v>17.5</v>
      </c>
      <c r="U1159" s="71" t="s">
        <v>1</v>
      </c>
    </row>
    <row r="1160" spans="18:21" x14ac:dyDescent="0.55000000000000004">
      <c r="R1160" s="71">
        <v>421</v>
      </c>
      <c r="T1160" s="72">
        <v>17.760000000000002</v>
      </c>
      <c r="U1160" s="71" t="s">
        <v>1</v>
      </c>
    </row>
    <row r="1161" spans="18:21" x14ac:dyDescent="0.55000000000000004">
      <c r="R1161" s="71">
        <v>421</v>
      </c>
      <c r="T1161" s="72">
        <v>18.5</v>
      </c>
      <c r="U1161" s="71" t="s">
        <v>1</v>
      </c>
    </row>
    <row r="1162" spans="18:21" x14ac:dyDescent="0.55000000000000004">
      <c r="R1162" s="71">
        <v>423</v>
      </c>
      <c r="T1162" s="72">
        <v>16</v>
      </c>
      <c r="U1162" s="71" t="s">
        <v>1</v>
      </c>
    </row>
    <row r="1163" spans="18:21" x14ac:dyDescent="0.55000000000000004">
      <c r="R1163" s="71">
        <v>423</v>
      </c>
      <c r="T1163" s="72">
        <v>17.5</v>
      </c>
      <c r="U1163" s="71" t="s">
        <v>1</v>
      </c>
    </row>
    <row r="1164" spans="18:21" x14ac:dyDescent="0.55000000000000004">
      <c r="R1164" s="71">
        <v>423</v>
      </c>
      <c r="T1164" s="72">
        <v>17.5</v>
      </c>
      <c r="U1164" s="71" t="s">
        <v>1</v>
      </c>
    </row>
    <row r="1165" spans="18:21" x14ac:dyDescent="0.55000000000000004">
      <c r="R1165" s="71">
        <v>423</v>
      </c>
      <c r="T1165" s="72">
        <v>18</v>
      </c>
      <c r="U1165" s="71" t="s">
        <v>1</v>
      </c>
    </row>
    <row r="1166" spans="18:21" x14ac:dyDescent="0.55000000000000004">
      <c r="R1166" s="71">
        <v>423</v>
      </c>
      <c r="T1166" s="72">
        <v>18</v>
      </c>
      <c r="U1166" s="71" t="s">
        <v>1</v>
      </c>
    </row>
    <row r="1167" spans="18:21" x14ac:dyDescent="0.55000000000000004">
      <c r="R1167" s="71">
        <v>423</v>
      </c>
      <c r="T1167" s="72">
        <v>18.5</v>
      </c>
      <c r="U1167" s="71" t="s">
        <v>1</v>
      </c>
    </row>
    <row r="1168" spans="18:21" x14ac:dyDescent="0.55000000000000004">
      <c r="R1168" s="71">
        <v>452</v>
      </c>
      <c r="T1168" s="72">
        <v>17.670000000000002</v>
      </c>
      <c r="U1168" s="71" t="s">
        <v>1</v>
      </c>
    </row>
    <row r="1169" spans="18:21" x14ac:dyDescent="0.55000000000000004">
      <c r="R1169" s="71">
        <v>452</v>
      </c>
      <c r="T1169" s="72">
        <v>18.38</v>
      </c>
      <c r="U1169" s="71" t="s">
        <v>1</v>
      </c>
    </row>
    <row r="1170" spans="18:21" x14ac:dyDescent="0.55000000000000004">
      <c r="R1170" s="71">
        <v>452</v>
      </c>
      <c r="T1170" s="72">
        <v>19.12</v>
      </c>
      <c r="U1170" s="71" t="s">
        <v>1</v>
      </c>
    </row>
    <row r="1171" spans="18:21" x14ac:dyDescent="0.55000000000000004">
      <c r="R1171" s="71">
        <v>452</v>
      </c>
      <c r="T1171" s="72">
        <v>24.25</v>
      </c>
      <c r="U1171" s="71" t="s">
        <v>1</v>
      </c>
    </row>
    <row r="1172" spans="18:21" x14ac:dyDescent="0.55000000000000004">
      <c r="R1172" s="71">
        <v>452</v>
      </c>
      <c r="T1172" s="72">
        <v>24.25</v>
      </c>
      <c r="U1172" s="71" t="s">
        <v>1</v>
      </c>
    </row>
    <row r="1173" spans="18:21" x14ac:dyDescent="0.55000000000000004">
      <c r="R1173" s="71">
        <v>479</v>
      </c>
      <c r="T1173" s="72">
        <v>16.5</v>
      </c>
      <c r="U1173" s="71" t="s">
        <v>1</v>
      </c>
    </row>
    <row r="1174" spans="18:21" x14ac:dyDescent="0.55000000000000004">
      <c r="R1174" s="71">
        <v>479</v>
      </c>
      <c r="T1174" s="72">
        <v>19.25</v>
      </c>
      <c r="U1174" s="71" t="s">
        <v>1</v>
      </c>
    </row>
    <row r="1175" spans="18:21" x14ac:dyDescent="0.55000000000000004">
      <c r="R1175" s="71">
        <v>479</v>
      </c>
      <c r="T1175" s="72">
        <v>20</v>
      </c>
      <c r="U1175" s="71" t="s">
        <v>1</v>
      </c>
    </row>
    <row r="1176" spans="18:21" x14ac:dyDescent="0.55000000000000004">
      <c r="R1176" s="71">
        <v>486</v>
      </c>
      <c r="T1176" s="72">
        <v>20</v>
      </c>
      <c r="U1176" s="71" t="s">
        <v>1</v>
      </c>
    </row>
    <row r="1177" spans="18:21" x14ac:dyDescent="0.55000000000000004">
      <c r="R1177" s="71">
        <v>486</v>
      </c>
      <c r="T1177" s="72">
        <v>21</v>
      </c>
      <c r="U1177" s="71" t="s">
        <v>1</v>
      </c>
    </row>
    <row r="1178" spans="18:21" x14ac:dyDescent="0.55000000000000004">
      <c r="R1178" s="71">
        <v>500</v>
      </c>
      <c r="T1178" s="72">
        <v>17</v>
      </c>
      <c r="U1178" s="71" t="s">
        <v>1</v>
      </c>
    </row>
    <row r="1179" spans="18:21" x14ac:dyDescent="0.55000000000000004">
      <c r="R1179" s="71">
        <v>500</v>
      </c>
      <c r="T1179" s="72">
        <v>20</v>
      </c>
      <c r="U1179" s="71" t="s">
        <v>1</v>
      </c>
    </row>
    <row r="1180" spans="18:21" x14ac:dyDescent="0.55000000000000004">
      <c r="R1180" s="71">
        <v>500</v>
      </c>
      <c r="T1180" s="72">
        <v>21</v>
      </c>
      <c r="U1180" s="71" t="s">
        <v>1</v>
      </c>
    </row>
    <row r="1181" spans="18:21" x14ac:dyDescent="0.55000000000000004">
      <c r="R1181" s="71">
        <v>506</v>
      </c>
      <c r="T1181" s="72">
        <v>18.59</v>
      </c>
      <c r="U1181" s="71" t="s">
        <v>1</v>
      </c>
    </row>
    <row r="1182" spans="18:21" x14ac:dyDescent="0.55000000000000004">
      <c r="R1182" s="71">
        <v>506</v>
      </c>
      <c r="T1182" s="72">
        <v>19.899999999999999</v>
      </c>
      <c r="U1182" s="71" t="s">
        <v>1</v>
      </c>
    </row>
    <row r="1183" spans="18:21" x14ac:dyDescent="0.55000000000000004">
      <c r="R1183" s="71">
        <v>506</v>
      </c>
      <c r="T1183" s="72">
        <v>20.69</v>
      </c>
      <c r="U1183" s="71" t="s">
        <v>1</v>
      </c>
    </row>
    <row r="1184" spans="18:21" x14ac:dyDescent="0.55000000000000004">
      <c r="R1184" s="71">
        <v>506</v>
      </c>
      <c r="T1184" s="72">
        <v>20.69</v>
      </c>
      <c r="U1184" s="71" t="s">
        <v>1</v>
      </c>
    </row>
    <row r="1185" spans="18:21" x14ac:dyDescent="0.55000000000000004">
      <c r="R1185" s="71">
        <v>506</v>
      </c>
      <c r="T1185" s="72">
        <v>23.05</v>
      </c>
      <c r="U1185" s="71" t="s">
        <v>1</v>
      </c>
    </row>
    <row r="1186" spans="18:21" x14ac:dyDescent="0.55000000000000004">
      <c r="R1186" s="71">
        <v>506</v>
      </c>
      <c r="T1186" s="72">
        <v>23.83</v>
      </c>
      <c r="U1186" s="71" t="s">
        <v>1</v>
      </c>
    </row>
    <row r="1187" spans="18:21" x14ac:dyDescent="0.55000000000000004">
      <c r="R1187" s="71">
        <v>506</v>
      </c>
      <c r="T1187" s="72">
        <v>24.88</v>
      </c>
      <c r="U1187" s="71" t="s">
        <v>1</v>
      </c>
    </row>
    <row r="1188" spans="18:21" x14ac:dyDescent="0.55000000000000004">
      <c r="R1188" s="71">
        <v>510</v>
      </c>
      <c r="T1188" s="72">
        <v>17.5</v>
      </c>
      <c r="U1188" s="71" t="s">
        <v>1</v>
      </c>
    </row>
    <row r="1189" spans="18:21" x14ac:dyDescent="0.55000000000000004">
      <c r="R1189" s="71">
        <v>510</v>
      </c>
      <c r="T1189" s="72">
        <v>20.100000000000001</v>
      </c>
      <c r="U1189" s="71" t="s">
        <v>1</v>
      </c>
    </row>
    <row r="1190" spans="18:21" x14ac:dyDescent="0.55000000000000004">
      <c r="R1190" s="71">
        <v>510</v>
      </c>
      <c r="T1190" s="72">
        <v>20.100000000000001</v>
      </c>
      <c r="U1190" s="71" t="s">
        <v>1</v>
      </c>
    </row>
    <row r="1191" spans="18:21" x14ac:dyDescent="0.55000000000000004">
      <c r="R1191" s="71">
        <v>510</v>
      </c>
      <c r="T1191" s="72">
        <v>20.100000000000001</v>
      </c>
      <c r="U1191" s="71" t="s">
        <v>1</v>
      </c>
    </row>
    <row r="1192" spans="18:21" x14ac:dyDescent="0.55000000000000004">
      <c r="R1192" s="71">
        <v>528</v>
      </c>
      <c r="T1192" s="72">
        <v>17.89</v>
      </c>
      <c r="U1192" s="71" t="s">
        <v>1</v>
      </c>
    </row>
    <row r="1193" spans="18:21" x14ac:dyDescent="0.55000000000000004">
      <c r="R1193" s="71">
        <v>528</v>
      </c>
      <c r="T1193" s="72">
        <v>20.56</v>
      </c>
      <c r="U1193" s="71" t="s">
        <v>1</v>
      </c>
    </row>
    <row r="1194" spans="18:21" x14ac:dyDescent="0.55000000000000004">
      <c r="R1194" s="71">
        <v>528</v>
      </c>
      <c r="T1194" s="72">
        <v>21.59</v>
      </c>
      <c r="U1194" s="71" t="s">
        <v>1</v>
      </c>
    </row>
    <row r="1195" spans="18:21" x14ac:dyDescent="0.55000000000000004">
      <c r="R1195" s="71">
        <v>535</v>
      </c>
      <c r="T1195" s="72">
        <v>18.04</v>
      </c>
      <c r="U1195" s="71" t="s">
        <v>1</v>
      </c>
    </row>
    <row r="1196" spans="18:21" x14ac:dyDescent="0.55000000000000004">
      <c r="R1196" s="71">
        <v>535</v>
      </c>
      <c r="T1196" s="72">
        <v>19.53</v>
      </c>
      <c r="U1196" s="71" t="s">
        <v>1</v>
      </c>
    </row>
    <row r="1197" spans="18:21" x14ac:dyDescent="0.55000000000000004">
      <c r="R1197" s="71">
        <v>535</v>
      </c>
      <c r="T1197" s="72">
        <v>20.32</v>
      </c>
      <c r="U1197" s="71" t="s">
        <v>1</v>
      </c>
    </row>
    <row r="1198" spans="18:21" x14ac:dyDescent="0.55000000000000004">
      <c r="R1198" s="71">
        <v>535</v>
      </c>
      <c r="T1198" s="72">
        <v>20.32</v>
      </c>
      <c r="U1198" s="71" t="s">
        <v>1</v>
      </c>
    </row>
    <row r="1199" spans="18:21" x14ac:dyDescent="0.55000000000000004">
      <c r="R1199" s="71">
        <v>535</v>
      </c>
      <c r="T1199" s="72">
        <v>20.93</v>
      </c>
      <c r="U1199" s="71" t="s">
        <v>1</v>
      </c>
    </row>
    <row r="1200" spans="18:21" x14ac:dyDescent="0.55000000000000004">
      <c r="R1200" s="71">
        <v>535</v>
      </c>
      <c r="T1200" s="72">
        <v>21.15</v>
      </c>
      <c r="U1200" s="71" t="s">
        <v>1</v>
      </c>
    </row>
    <row r="1201" spans="18:21" x14ac:dyDescent="0.55000000000000004">
      <c r="R1201" s="71">
        <v>540</v>
      </c>
      <c r="T1201" s="72">
        <v>17.7</v>
      </c>
      <c r="U1201" s="71" t="s">
        <v>1</v>
      </c>
    </row>
    <row r="1202" spans="18:21" x14ac:dyDescent="0.55000000000000004">
      <c r="R1202" s="71">
        <v>540</v>
      </c>
      <c r="T1202" s="72">
        <v>17.93</v>
      </c>
      <c r="U1202" s="71" t="s">
        <v>1</v>
      </c>
    </row>
    <row r="1203" spans="18:21" x14ac:dyDescent="0.55000000000000004">
      <c r="R1203" s="71">
        <v>540</v>
      </c>
      <c r="T1203" s="72">
        <v>18.010000000000002</v>
      </c>
      <c r="U1203" s="71" t="s">
        <v>1</v>
      </c>
    </row>
    <row r="1204" spans="18:21" x14ac:dyDescent="0.55000000000000004">
      <c r="R1204" s="71">
        <v>540</v>
      </c>
      <c r="T1204" s="72">
        <v>21.92</v>
      </c>
      <c r="U1204" s="71" t="s">
        <v>1</v>
      </c>
    </row>
    <row r="1205" spans="18:21" x14ac:dyDescent="0.55000000000000004">
      <c r="R1205" s="71">
        <v>540</v>
      </c>
      <c r="T1205" s="72">
        <v>21.92</v>
      </c>
      <c r="U1205" s="71" t="s">
        <v>1</v>
      </c>
    </row>
    <row r="1206" spans="18:21" x14ac:dyDescent="0.55000000000000004">
      <c r="R1206" s="71">
        <v>540</v>
      </c>
      <c r="T1206" s="72">
        <v>21.92</v>
      </c>
      <c r="U1206" s="71" t="s">
        <v>1</v>
      </c>
    </row>
    <row r="1207" spans="18:21" x14ac:dyDescent="0.55000000000000004">
      <c r="R1207" s="71">
        <v>540</v>
      </c>
      <c r="T1207" s="72">
        <v>22.96</v>
      </c>
      <c r="U1207" s="71" t="s">
        <v>1</v>
      </c>
    </row>
    <row r="1208" spans="18:21" x14ac:dyDescent="0.55000000000000004">
      <c r="R1208" s="71">
        <v>540</v>
      </c>
      <c r="T1208" s="72">
        <v>23.5</v>
      </c>
      <c r="U1208" s="71" t="s">
        <v>1</v>
      </c>
    </row>
    <row r="1209" spans="18:21" x14ac:dyDescent="0.55000000000000004">
      <c r="R1209" s="71">
        <v>540</v>
      </c>
      <c r="T1209" s="72">
        <v>23.5</v>
      </c>
      <c r="U1209" s="71" t="s">
        <v>1</v>
      </c>
    </row>
    <row r="1210" spans="18:21" x14ac:dyDescent="0.55000000000000004">
      <c r="R1210" s="71">
        <v>540</v>
      </c>
      <c r="T1210" s="72">
        <v>23.5</v>
      </c>
      <c r="U1210" s="71" t="s">
        <v>1</v>
      </c>
    </row>
    <row r="1211" spans="18:21" x14ac:dyDescent="0.55000000000000004">
      <c r="R1211" s="71">
        <v>542</v>
      </c>
      <c r="T1211" s="72">
        <v>19.09</v>
      </c>
      <c r="U1211" s="71" t="s">
        <v>1</v>
      </c>
    </row>
    <row r="1212" spans="18:21" x14ac:dyDescent="0.55000000000000004">
      <c r="R1212" s="71">
        <v>542</v>
      </c>
      <c r="T1212" s="72">
        <v>19.09</v>
      </c>
      <c r="U1212" s="71" t="s">
        <v>1</v>
      </c>
    </row>
    <row r="1213" spans="18:21" x14ac:dyDescent="0.55000000000000004">
      <c r="R1213" s="71">
        <v>542</v>
      </c>
      <c r="T1213" s="72">
        <v>23.57</v>
      </c>
      <c r="U1213" s="71" t="s">
        <v>1</v>
      </c>
    </row>
    <row r="1214" spans="18:21" x14ac:dyDescent="0.55000000000000004">
      <c r="R1214" s="71">
        <v>542</v>
      </c>
      <c r="T1214" s="72">
        <v>24.34</v>
      </c>
      <c r="U1214" s="71" t="s">
        <v>1</v>
      </c>
    </row>
    <row r="1215" spans="18:21" x14ac:dyDescent="0.55000000000000004">
      <c r="R1215" s="71">
        <v>543</v>
      </c>
      <c r="T1215" s="72">
        <v>16</v>
      </c>
      <c r="U1215" s="71" t="s">
        <v>1</v>
      </c>
    </row>
    <row r="1216" spans="18:21" x14ac:dyDescent="0.55000000000000004">
      <c r="R1216" s="71">
        <v>543</v>
      </c>
      <c r="T1216" s="72">
        <v>16.72</v>
      </c>
      <c r="U1216" s="71" t="s">
        <v>1</v>
      </c>
    </row>
    <row r="1217" spans="18:21" x14ac:dyDescent="0.55000000000000004">
      <c r="R1217" s="71">
        <v>543</v>
      </c>
      <c r="T1217" s="72">
        <v>16.79</v>
      </c>
      <c r="U1217" s="71" t="s">
        <v>1</v>
      </c>
    </row>
    <row r="1218" spans="18:21" x14ac:dyDescent="0.55000000000000004">
      <c r="R1218" s="71">
        <v>543</v>
      </c>
      <c r="T1218" s="72">
        <v>17.190000000000001</v>
      </c>
      <c r="U1218" s="71" t="s">
        <v>1</v>
      </c>
    </row>
    <row r="1219" spans="18:21" x14ac:dyDescent="0.55000000000000004">
      <c r="R1219" s="71">
        <v>543</v>
      </c>
      <c r="T1219" s="72">
        <v>18.350000000000001</v>
      </c>
      <c r="U1219" s="71" t="s">
        <v>1</v>
      </c>
    </row>
    <row r="1220" spans="18:21" x14ac:dyDescent="0.55000000000000004">
      <c r="R1220" s="71">
        <v>550</v>
      </c>
      <c r="T1220" s="72">
        <v>19.57</v>
      </c>
      <c r="U1220" s="71" t="s">
        <v>1</v>
      </c>
    </row>
    <row r="1221" spans="18:21" x14ac:dyDescent="0.55000000000000004">
      <c r="R1221" s="71">
        <v>550</v>
      </c>
      <c r="T1221" s="72">
        <v>19.57</v>
      </c>
      <c r="U1221" s="71" t="s">
        <v>1</v>
      </c>
    </row>
    <row r="1222" spans="18:21" x14ac:dyDescent="0.55000000000000004">
      <c r="R1222" s="71">
        <v>550</v>
      </c>
      <c r="T1222" s="72">
        <v>19.72</v>
      </c>
      <c r="U1222" s="71" t="s">
        <v>1</v>
      </c>
    </row>
    <row r="1223" spans="18:21" x14ac:dyDescent="0.55000000000000004">
      <c r="R1223" s="71">
        <v>555</v>
      </c>
      <c r="T1223" s="72">
        <v>19.68</v>
      </c>
      <c r="U1223" s="71" t="s">
        <v>1</v>
      </c>
    </row>
    <row r="1224" spans="18:21" x14ac:dyDescent="0.55000000000000004">
      <c r="R1224" s="71">
        <v>555</v>
      </c>
      <c r="T1224" s="72">
        <v>19.850000000000001</v>
      </c>
      <c r="U1224" s="71" t="s">
        <v>1</v>
      </c>
    </row>
    <row r="1225" spans="18:21" x14ac:dyDescent="0.55000000000000004">
      <c r="R1225" s="71">
        <v>555</v>
      </c>
      <c r="T1225" s="72">
        <v>21.25</v>
      </c>
      <c r="U1225" s="71" t="s">
        <v>1</v>
      </c>
    </row>
    <row r="1226" spans="18:21" x14ac:dyDescent="0.55000000000000004">
      <c r="R1226" s="71">
        <v>558</v>
      </c>
      <c r="T1226" s="72">
        <v>21</v>
      </c>
      <c r="U1226" s="71" t="s">
        <v>1</v>
      </c>
    </row>
    <row r="1227" spans="18:21" x14ac:dyDescent="0.55000000000000004">
      <c r="R1227" s="71">
        <v>558</v>
      </c>
      <c r="T1227" s="72">
        <v>21</v>
      </c>
      <c r="U1227" s="71" t="s">
        <v>1</v>
      </c>
    </row>
    <row r="1228" spans="18:21" x14ac:dyDescent="0.55000000000000004">
      <c r="R1228" s="71">
        <v>558</v>
      </c>
      <c r="T1228" s="72">
        <v>21</v>
      </c>
      <c r="U1228" s="71" t="s">
        <v>1</v>
      </c>
    </row>
    <row r="1229" spans="18:21" x14ac:dyDescent="0.55000000000000004">
      <c r="R1229" s="71">
        <v>558</v>
      </c>
      <c r="T1229" s="72">
        <v>26</v>
      </c>
      <c r="U1229" s="71" t="s">
        <v>1</v>
      </c>
    </row>
    <row r="1230" spans="18:21" x14ac:dyDescent="0.55000000000000004">
      <c r="R1230" s="71">
        <v>560</v>
      </c>
      <c r="T1230" s="72">
        <v>17</v>
      </c>
      <c r="U1230" s="71" t="s">
        <v>1</v>
      </c>
    </row>
    <row r="1231" spans="18:21" x14ac:dyDescent="0.55000000000000004">
      <c r="R1231" s="71">
        <v>560</v>
      </c>
      <c r="T1231" s="72">
        <v>17.9375</v>
      </c>
      <c r="U1231" s="71" t="s">
        <v>1</v>
      </c>
    </row>
    <row r="1232" spans="18:21" x14ac:dyDescent="0.55000000000000004">
      <c r="R1232" s="71">
        <v>560</v>
      </c>
      <c r="T1232" s="72">
        <v>18.183499999999999</v>
      </c>
      <c r="U1232" s="71" t="s">
        <v>1</v>
      </c>
    </row>
    <row r="1233" spans="18:21" x14ac:dyDescent="0.55000000000000004">
      <c r="R1233" s="71">
        <v>560</v>
      </c>
      <c r="T1233" s="72">
        <v>21.01</v>
      </c>
      <c r="U1233" s="71" t="s">
        <v>1</v>
      </c>
    </row>
    <row r="1234" spans="18:21" x14ac:dyDescent="0.55000000000000004">
      <c r="R1234" s="71">
        <v>560</v>
      </c>
      <c r="T1234" s="72">
        <v>21.38</v>
      </c>
      <c r="U1234" s="71" t="s">
        <v>1</v>
      </c>
    </row>
    <row r="1235" spans="18:21" x14ac:dyDescent="0.55000000000000004">
      <c r="R1235" s="71">
        <v>560</v>
      </c>
      <c r="T1235" s="72">
        <v>22.04</v>
      </c>
      <c r="U1235" s="71" t="s">
        <v>1</v>
      </c>
    </row>
    <row r="1236" spans="18:21" x14ac:dyDescent="0.55000000000000004">
      <c r="R1236" s="71">
        <v>563</v>
      </c>
      <c r="T1236" s="72">
        <v>16</v>
      </c>
      <c r="U1236" s="71" t="s">
        <v>1</v>
      </c>
    </row>
    <row r="1237" spans="18:21" x14ac:dyDescent="0.55000000000000004">
      <c r="R1237" s="71">
        <v>563</v>
      </c>
      <c r="T1237" s="72">
        <v>17.510000000000002</v>
      </c>
      <c r="U1237" s="71" t="s">
        <v>1</v>
      </c>
    </row>
    <row r="1238" spans="18:21" x14ac:dyDescent="0.55000000000000004">
      <c r="R1238" s="71">
        <v>563</v>
      </c>
      <c r="T1238" s="72">
        <v>18</v>
      </c>
      <c r="U1238" s="71" t="s">
        <v>1</v>
      </c>
    </row>
    <row r="1239" spans="18:21" x14ac:dyDescent="0.55000000000000004">
      <c r="R1239" s="71">
        <v>563</v>
      </c>
      <c r="T1239" s="72">
        <v>22</v>
      </c>
      <c r="U1239" s="71" t="s">
        <v>1</v>
      </c>
    </row>
    <row r="1240" spans="18:21" x14ac:dyDescent="0.55000000000000004">
      <c r="R1240" s="71">
        <v>572</v>
      </c>
      <c r="T1240" s="72">
        <v>17.36</v>
      </c>
      <c r="U1240" s="71" t="s">
        <v>1</v>
      </c>
    </row>
    <row r="1241" spans="18:21" x14ac:dyDescent="0.55000000000000004">
      <c r="R1241" s="71">
        <v>572</v>
      </c>
      <c r="T1241" s="72">
        <v>17.36</v>
      </c>
      <c r="U1241" s="71" t="s">
        <v>1</v>
      </c>
    </row>
    <row r="1242" spans="18:21" x14ac:dyDescent="0.55000000000000004">
      <c r="R1242" s="71">
        <v>572</v>
      </c>
      <c r="T1242" s="72">
        <v>17.36</v>
      </c>
      <c r="U1242" s="71" t="s">
        <v>1</v>
      </c>
    </row>
    <row r="1243" spans="18:21" x14ac:dyDescent="0.55000000000000004">
      <c r="R1243" s="71">
        <v>572</v>
      </c>
      <c r="T1243" s="72">
        <v>18.149999999999999</v>
      </c>
      <c r="U1243" s="71" t="s">
        <v>1</v>
      </c>
    </row>
    <row r="1244" spans="18:21" x14ac:dyDescent="0.55000000000000004">
      <c r="R1244" s="71">
        <v>572</v>
      </c>
      <c r="T1244" s="72">
        <v>19.07</v>
      </c>
      <c r="U1244" s="71" t="s">
        <v>1</v>
      </c>
    </row>
    <row r="1245" spans="18:21" x14ac:dyDescent="0.55000000000000004">
      <c r="R1245" s="71">
        <v>575</v>
      </c>
      <c r="T1245" s="72">
        <v>20.89</v>
      </c>
      <c r="U1245" s="71" t="s">
        <v>1</v>
      </c>
    </row>
    <row r="1246" spans="18:21" x14ac:dyDescent="0.55000000000000004">
      <c r="R1246" s="71">
        <v>575</v>
      </c>
      <c r="T1246" s="72">
        <v>22.01</v>
      </c>
      <c r="U1246" s="71" t="s">
        <v>1</v>
      </c>
    </row>
    <row r="1247" spans="18:21" x14ac:dyDescent="0.55000000000000004">
      <c r="R1247" s="71">
        <v>575</v>
      </c>
      <c r="T1247" s="72">
        <v>22.29</v>
      </c>
      <c r="U1247" s="71" t="s">
        <v>1</v>
      </c>
    </row>
    <row r="1248" spans="18:21" x14ac:dyDescent="0.55000000000000004">
      <c r="R1248" s="71">
        <v>575</v>
      </c>
      <c r="T1248" s="72">
        <v>24.18</v>
      </c>
      <c r="U1248" s="71" t="s">
        <v>1</v>
      </c>
    </row>
    <row r="1249" spans="18:21" x14ac:dyDescent="0.55000000000000004">
      <c r="R1249" s="71">
        <v>584</v>
      </c>
      <c r="T1249" s="72">
        <v>20.8</v>
      </c>
      <c r="U1249" s="71" t="s">
        <v>1</v>
      </c>
    </row>
    <row r="1250" spans="18:21" x14ac:dyDescent="0.55000000000000004">
      <c r="R1250" s="71">
        <v>584</v>
      </c>
      <c r="T1250" s="72">
        <v>21</v>
      </c>
      <c r="U1250" s="71" t="s">
        <v>1</v>
      </c>
    </row>
    <row r="1251" spans="18:21" x14ac:dyDescent="0.55000000000000004">
      <c r="R1251" s="71">
        <v>584</v>
      </c>
      <c r="T1251" s="72">
        <v>22.47</v>
      </c>
      <c r="U1251" s="71" t="s">
        <v>1</v>
      </c>
    </row>
    <row r="1252" spans="18:21" x14ac:dyDescent="0.55000000000000004">
      <c r="R1252" s="71">
        <v>604</v>
      </c>
      <c r="T1252" s="72">
        <v>16.399999999999999</v>
      </c>
      <c r="U1252" s="71" t="s">
        <v>1</v>
      </c>
    </row>
    <row r="1253" spans="18:21" x14ac:dyDescent="0.55000000000000004">
      <c r="R1253" s="71">
        <v>604</v>
      </c>
      <c r="T1253" s="72">
        <v>18.71</v>
      </c>
      <c r="U1253" s="71" t="s">
        <v>1</v>
      </c>
    </row>
    <row r="1254" spans="18:21" x14ac:dyDescent="0.55000000000000004">
      <c r="R1254" s="71">
        <v>604</v>
      </c>
      <c r="T1254" s="72">
        <v>20.23</v>
      </c>
      <c r="U1254" s="71" t="s">
        <v>1</v>
      </c>
    </row>
    <row r="1255" spans="18:21" x14ac:dyDescent="0.55000000000000004">
      <c r="R1255" s="71">
        <v>604</v>
      </c>
      <c r="T1255" s="72">
        <v>20.23</v>
      </c>
      <c r="U1255" s="71" t="s">
        <v>1</v>
      </c>
    </row>
    <row r="1256" spans="18:21" x14ac:dyDescent="0.55000000000000004">
      <c r="R1256" s="71">
        <v>606</v>
      </c>
      <c r="T1256" s="72">
        <v>17.059999999999999</v>
      </c>
      <c r="U1256" s="71" t="s">
        <v>1</v>
      </c>
    </row>
    <row r="1257" spans="18:21" x14ac:dyDescent="0.55000000000000004">
      <c r="R1257" s="71">
        <v>606</v>
      </c>
      <c r="T1257" s="72">
        <v>19.809999999999999</v>
      </c>
      <c r="U1257" s="71" t="s">
        <v>1</v>
      </c>
    </row>
    <row r="1258" spans="18:21" x14ac:dyDescent="0.55000000000000004">
      <c r="R1258" s="71">
        <v>606</v>
      </c>
      <c r="T1258" s="72">
        <v>22.78</v>
      </c>
      <c r="U1258" s="71" t="s">
        <v>1</v>
      </c>
    </row>
    <row r="1259" spans="18:21" x14ac:dyDescent="0.55000000000000004">
      <c r="R1259" s="71">
        <v>636</v>
      </c>
      <c r="T1259" s="72">
        <v>21.53</v>
      </c>
      <c r="U1259" s="71" t="s">
        <v>1</v>
      </c>
    </row>
    <row r="1260" spans="18:21" x14ac:dyDescent="0.55000000000000004">
      <c r="R1260" s="71">
        <v>636</v>
      </c>
      <c r="T1260" s="72">
        <v>22.83</v>
      </c>
      <c r="U1260" s="71" t="s">
        <v>1</v>
      </c>
    </row>
    <row r="1261" spans="18:21" x14ac:dyDescent="0.55000000000000004">
      <c r="R1261" s="71">
        <v>636</v>
      </c>
      <c r="T1261" s="72">
        <v>24</v>
      </c>
      <c r="U1261" s="71" t="s">
        <v>1</v>
      </c>
    </row>
    <row r="1262" spans="18:21" x14ac:dyDescent="0.55000000000000004">
      <c r="R1262" s="71">
        <v>642</v>
      </c>
      <c r="T1262" s="72">
        <v>21.16</v>
      </c>
      <c r="U1262" s="71" t="s">
        <v>1</v>
      </c>
    </row>
    <row r="1263" spans="18:21" x14ac:dyDescent="0.55000000000000004">
      <c r="R1263" s="71">
        <v>642</v>
      </c>
      <c r="T1263" s="72">
        <v>22.18</v>
      </c>
      <c r="U1263" s="71" t="s">
        <v>1</v>
      </c>
    </row>
    <row r="1264" spans="18:21" x14ac:dyDescent="0.55000000000000004">
      <c r="R1264" s="71">
        <v>642</v>
      </c>
      <c r="T1264" s="72">
        <v>22.5</v>
      </c>
      <c r="U1264" s="71" t="s">
        <v>1</v>
      </c>
    </row>
    <row r="1265" spans="18:21" x14ac:dyDescent="0.55000000000000004">
      <c r="R1265" s="71">
        <v>644</v>
      </c>
      <c r="T1265" s="72">
        <v>14.57</v>
      </c>
      <c r="U1265" s="71" t="s">
        <v>1</v>
      </c>
    </row>
    <row r="1266" spans="18:21" x14ac:dyDescent="0.55000000000000004">
      <c r="R1266" s="71">
        <v>644</v>
      </c>
      <c r="T1266" s="72">
        <v>15.84</v>
      </c>
      <c r="U1266" s="71" t="s">
        <v>1</v>
      </c>
    </row>
    <row r="1267" spans="18:21" x14ac:dyDescent="0.55000000000000004">
      <c r="R1267" s="71">
        <v>644</v>
      </c>
      <c r="T1267" s="72">
        <v>15.84</v>
      </c>
      <c r="U1267" s="71" t="s">
        <v>1</v>
      </c>
    </row>
    <row r="1268" spans="18:21" x14ac:dyDescent="0.55000000000000004">
      <c r="R1268" s="71">
        <v>644</v>
      </c>
      <c r="T1268" s="72">
        <v>15.84</v>
      </c>
      <c r="U1268" s="71" t="s">
        <v>1</v>
      </c>
    </row>
    <row r="1269" spans="18:21" x14ac:dyDescent="0.55000000000000004">
      <c r="R1269" s="71">
        <v>644</v>
      </c>
      <c r="T1269" s="72">
        <v>15.84</v>
      </c>
      <c r="U1269" s="71" t="s">
        <v>1</v>
      </c>
    </row>
    <row r="1270" spans="18:21" x14ac:dyDescent="0.55000000000000004">
      <c r="R1270" s="71">
        <v>646</v>
      </c>
      <c r="T1270" s="72">
        <v>16.670000000000002</v>
      </c>
      <c r="U1270" s="71" t="s">
        <v>1</v>
      </c>
    </row>
    <row r="1271" spans="18:21" x14ac:dyDescent="0.55000000000000004">
      <c r="R1271" s="71">
        <v>646</v>
      </c>
      <c r="T1271" s="72">
        <v>20.32</v>
      </c>
      <c r="U1271" s="71" t="s">
        <v>1</v>
      </c>
    </row>
    <row r="1272" spans="18:21" x14ac:dyDescent="0.55000000000000004">
      <c r="R1272" s="71">
        <v>646</v>
      </c>
      <c r="T1272" s="72">
        <v>20.32</v>
      </c>
      <c r="U1272" s="71" t="s">
        <v>1</v>
      </c>
    </row>
    <row r="1273" spans="18:21" x14ac:dyDescent="0.55000000000000004">
      <c r="R1273" s="71">
        <v>646</v>
      </c>
      <c r="T1273" s="72">
        <v>20.52</v>
      </c>
      <c r="U1273" s="71" t="s">
        <v>1</v>
      </c>
    </row>
    <row r="1274" spans="18:21" x14ac:dyDescent="0.55000000000000004">
      <c r="R1274" s="71">
        <v>646</v>
      </c>
      <c r="T1274" s="72">
        <v>20.52</v>
      </c>
      <c r="U1274" s="71" t="s">
        <v>1</v>
      </c>
    </row>
    <row r="1275" spans="18:21" x14ac:dyDescent="0.55000000000000004">
      <c r="R1275" s="71">
        <v>646</v>
      </c>
      <c r="T1275" s="72">
        <v>20.72</v>
      </c>
      <c r="U1275" s="71" t="s">
        <v>1</v>
      </c>
    </row>
    <row r="1276" spans="18:21" x14ac:dyDescent="0.55000000000000004">
      <c r="R1276" s="71">
        <v>646</v>
      </c>
      <c r="T1276" s="72">
        <v>20.72</v>
      </c>
      <c r="U1276" s="71" t="s">
        <v>1</v>
      </c>
    </row>
    <row r="1277" spans="18:21" x14ac:dyDescent="0.55000000000000004">
      <c r="R1277" s="71">
        <v>646</v>
      </c>
      <c r="T1277" s="72">
        <v>21.15</v>
      </c>
      <c r="U1277" s="71" t="s">
        <v>1</v>
      </c>
    </row>
    <row r="1278" spans="18:21" x14ac:dyDescent="0.55000000000000004">
      <c r="R1278" s="71">
        <v>646</v>
      </c>
      <c r="T1278" s="72">
        <v>21.15</v>
      </c>
      <c r="U1278" s="71" t="s">
        <v>1</v>
      </c>
    </row>
    <row r="1279" spans="18:21" x14ac:dyDescent="0.55000000000000004">
      <c r="R1279" s="71">
        <v>658</v>
      </c>
      <c r="T1279" s="72">
        <v>17</v>
      </c>
      <c r="U1279" s="71" t="s">
        <v>1</v>
      </c>
    </row>
    <row r="1280" spans="18:21" x14ac:dyDescent="0.55000000000000004">
      <c r="R1280" s="71">
        <v>690</v>
      </c>
      <c r="T1280" s="72">
        <v>19.5</v>
      </c>
      <c r="U1280" s="71" t="s">
        <v>1</v>
      </c>
    </row>
    <row r="1281" spans="18:21" x14ac:dyDescent="0.55000000000000004">
      <c r="R1281" s="71">
        <v>690</v>
      </c>
      <c r="T1281" s="72">
        <v>20.32</v>
      </c>
      <c r="U1281" s="71" t="s">
        <v>1</v>
      </c>
    </row>
    <row r="1282" spans="18:21" x14ac:dyDescent="0.55000000000000004">
      <c r="R1282" s="71">
        <v>701</v>
      </c>
      <c r="T1282" s="72">
        <v>16.5</v>
      </c>
      <c r="U1282" s="71" t="s">
        <v>1</v>
      </c>
    </row>
    <row r="1283" spans="18:21" x14ac:dyDescent="0.55000000000000004">
      <c r="R1283" s="71">
        <v>701</v>
      </c>
      <c r="T1283" s="72">
        <v>16.5</v>
      </c>
      <c r="U1283" s="71" t="s">
        <v>1</v>
      </c>
    </row>
    <row r="1284" spans="18:21" x14ac:dyDescent="0.55000000000000004">
      <c r="R1284" s="71">
        <v>701</v>
      </c>
      <c r="T1284" s="72">
        <v>17.5</v>
      </c>
      <c r="U1284" s="71" t="s">
        <v>1</v>
      </c>
    </row>
    <row r="1285" spans="18:21" x14ac:dyDescent="0.55000000000000004">
      <c r="R1285" s="71">
        <v>701</v>
      </c>
      <c r="T1285" s="72">
        <v>18</v>
      </c>
      <c r="U1285" s="71" t="s">
        <v>1</v>
      </c>
    </row>
    <row r="1286" spans="18:21" x14ac:dyDescent="0.55000000000000004">
      <c r="R1286" s="71">
        <v>701</v>
      </c>
      <c r="T1286" s="72">
        <v>18.2</v>
      </c>
      <c r="U1286" s="71" t="s">
        <v>1</v>
      </c>
    </row>
    <row r="1287" spans="18:21" x14ac:dyDescent="0.55000000000000004">
      <c r="R1287" s="71">
        <v>701</v>
      </c>
      <c r="T1287" s="72">
        <v>18.45</v>
      </c>
      <c r="U1287" s="71" t="s">
        <v>1</v>
      </c>
    </row>
    <row r="1288" spans="18:21" x14ac:dyDescent="0.55000000000000004">
      <c r="R1288" s="71">
        <v>712</v>
      </c>
      <c r="T1288" s="72">
        <v>20.76</v>
      </c>
      <c r="U1288" s="71" t="s">
        <v>1</v>
      </c>
    </row>
    <row r="1289" spans="18:21" x14ac:dyDescent="0.55000000000000004">
      <c r="R1289" s="71">
        <v>712</v>
      </c>
      <c r="T1289" s="72">
        <v>20.76</v>
      </c>
      <c r="U1289" s="71" t="s">
        <v>1</v>
      </c>
    </row>
    <row r="1290" spans="18:21" x14ac:dyDescent="0.55000000000000004">
      <c r="R1290" s="71">
        <v>712</v>
      </c>
      <c r="T1290" s="72">
        <v>20.76</v>
      </c>
      <c r="U1290" s="71" t="s">
        <v>1</v>
      </c>
    </row>
    <row r="1291" spans="18:21" x14ac:dyDescent="0.55000000000000004">
      <c r="R1291" s="71">
        <v>712</v>
      </c>
      <c r="T1291" s="72">
        <v>21.52</v>
      </c>
      <c r="U1291" s="71" t="s">
        <v>1</v>
      </c>
    </row>
    <row r="1292" spans="18:21" x14ac:dyDescent="0.55000000000000004">
      <c r="R1292" s="71">
        <v>712</v>
      </c>
      <c r="T1292" s="72">
        <v>22.46</v>
      </c>
      <c r="U1292" s="71" t="s">
        <v>1</v>
      </c>
    </row>
    <row r="1293" spans="18:21" x14ac:dyDescent="0.55000000000000004">
      <c r="R1293" s="71">
        <v>712</v>
      </c>
      <c r="T1293" s="72">
        <v>22.46</v>
      </c>
      <c r="U1293" s="71" t="s">
        <v>1</v>
      </c>
    </row>
    <row r="1294" spans="18:21" x14ac:dyDescent="0.55000000000000004">
      <c r="R1294" s="71">
        <v>712</v>
      </c>
      <c r="T1294" s="72">
        <v>22.46</v>
      </c>
      <c r="U1294" s="71" t="s">
        <v>1</v>
      </c>
    </row>
    <row r="1295" spans="18:21" x14ac:dyDescent="0.55000000000000004">
      <c r="R1295" s="71">
        <v>712</v>
      </c>
      <c r="T1295" s="72">
        <v>22.46</v>
      </c>
      <c r="U1295" s="71" t="s">
        <v>1</v>
      </c>
    </row>
    <row r="1296" spans="18:21" x14ac:dyDescent="0.55000000000000004">
      <c r="R1296" s="71">
        <v>718</v>
      </c>
      <c r="T1296" s="72">
        <v>17.52</v>
      </c>
      <c r="U1296" s="71" t="s">
        <v>1</v>
      </c>
    </row>
    <row r="1297" spans="18:21" x14ac:dyDescent="0.55000000000000004">
      <c r="R1297" s="71">
        <v>718</v>
      </c>
      <c r="T1297" s="72">
        <v>21.86</v>
      </c>
      <c r="U1297" s="71" t="s">
        <v>1</v>
      </c>
    </row>
    <row r="1298" spans="18:21" x14ac:dyDescent="0.55000000000000004">
      <c r="R1298" s="71">
        <v>718</v>
      </c>
      <c r="T1298" s="72">
        <v>22.42</v>
      </c>
      <c r="U1298" s="71" t="s">
        <v>1</v>
      </c>
    </row>
    <row r="1299" spans="18:21" x14ac:dyDescent="0.55000000000000004">
      <c r="R1299" s="71">
        <v>726</v>
      </c>
      <c r="T1299" s="72">
        <v>17.850000000000001</v>
      </c>
      <c r="U1299" s="71" t="s">
        <v>1</v>
      </c>
    </row>
    <row r="1300" spans="18:21" x14ac:dyDescent="0.55000000000000004">
      <c r="R1300" s="71">
        <v>726</v>
      </c>
      <c r="T1300" s="72">
        <v>18.329999999999998</v>
      </c>
      <c r="U1300" s="71" t="s">
        <v>1</v>
      </c>
    </row>
    <row r="1301" spans="18:21" x14ac:dyDescent="0.55000000000000004">
      <c r="R1301" s="71">
        <v>726</v>
      </c>
      <c r="T1301" s="72">
        <v>18.88</v>
      </c>
      <c r="U1301" s="71" t="s">
        <v>1</v>
      </c>
    </row>
    <row r="1302" spans="18:21" x14ac:dyDescent="0.55000000000000004">
      <c r="R1302" s="71">
        <v>728</v>
      </c>
      <c r="T1302" s="72">
        <v>17.309999999999999</v>
      </c>
      <c r="U1302" s="71" t="s">
        <v>1</v>
      </c>
    </row>
    <row r="1303" spans="18:21" x14ac:dyDescent="0.55000000000000004">
      <c r="R1303" s="71">
        <v>728</v>
      </c>
      <c r="T1303" s="72">
        <v>18.28</v>
      </c>
      <c r="U1303" s="71" t="s">
        <v>1</v>
      </c>
    </row>
    <row r="1304" spans="18:21" x14ac:dyDescent="0.55000000000000004">
      <c r="R1304" s="71">
        <v>728</v>
      </c>
      <c r="T1304" s="72">
        <v>20.38</v>
      </c>
      <c r="U1304" s="71" t="s">
        <v>1</v>
      </c>
    </row>
    <row r="1305" spans="18:21" x14ac:dyDescent="0.55000000000000004">
      <c r="R1305" s="71">
        <v>728</v>
      </c>
      <c r="T1305" s="72">
        <v>21.14</v>
      </c>
      <c r="U1305" s="71" t="s">
        <v>1</v>
      </c>
    </row>
    <row r="1306" spans="18:21" x14ac:dyDescent="0.55000000000000004">
      <c r="R1306" s="71">
        <v>738</v>
      </c>
      <c r="T1306" s="72">
        <v>15</v>
      </c>
      <c r="U1306" s="71" t="s">
        <v>1</v>
      </c>
    </row>
    <row r="1307" spans="18:21" x14ac:dyDescent="0.55000000000000004">
      <c r="R1307" s="71">
        <v>738</v>
      </c>
      <c r="T1307" s="72">
        <v>15.45</v>
      </c>
      <c r="U1307" s="71" t="s">
        <v>1</v>
      </c>
    </row>
    <row r="1308" spans="18:21" x14ac:dyDescent="0.55000000000000004">
      <c r="R1308" s="71">
        <v>738</v>
      </c>
      <c r="T1308" s="72">
        <v>15.45</v>
      </c>
      <c r="U1308" s="71" t="s">
        <v>1</v>
      </c>
    </row>
    <row r="1309" spans="18:21" x14ac:dyDescent="0.55000000000000004">
      <c r="R1309" s="71">
        <v>738</v>
      </c>
      <c r="T1309" s="72">
        <v>16.079999999999998</v>
      </c>
      <c r="U1309" s="71" t="s">
        <v>1</v>
      </c>
    </row>
    <row r="1310" spans="18:21" x14ac:dyDescent="0.55000000000000004">
      <c r="R1310" s="71">
        <v>756</v>
      </c>
      <c r="T1310" s="72">
        <v>18.73</v>
      </c>
      <c r="U1310" s="71" t="s">
        <v>1</v>
      </c>
    </row>
    <row r="1311" spans="18:21" x14ac:dyDescent="0.55000000000000004">
      <c r="R1311" s="71">
        <v>756</v>
      </c>
      <c r="T1311" s="72">
        <v>19.190000000000001</v>
      </c>
      <c r="U1311" s="71" t="s">
        <v>1</v>
      </c>
    </row>
    <row r="1312" spans="18:21" x14ac:dyDescent="0.55000000000000004">
      <c r="R1312" s="71">
        <v>756</v>
      </c>
      <c r="T1312" s="72">
        <v>19.190000000000001</v>
      </c>
      <c r="U1312" s="71" t="s">
        <v>1</v>
      </c>
    </row>
    <row r="1313" spans="18:21" x14ac:dyDescent="0.55000000000000004">
      <c r="R1313" s="71">
        <v>756</v>
      </c>
      <c r="T1313" s="72">
        <v>19.7</v>
      </c>
      <c r="U1313" s="71" t="s">
        <v>1</v>
      </c>
    </row>
    <row r="1314" spans="18:21" x14ac:dyDescent="0.55000000000000004">
      <c r="R1314" s="71">
        <v>766</v>
      </c>
      <c r="T1314" s="72">
        <v>18.73</v>
      </c>
      <c r="U1314" s="71" t="s">
        <v>1</v>
      </c>
    </row>
    <row r="1315" spans="18:21" x14ac:dyDescent="0.55000000000000004">
      <c r="R1315" s="71">
        <v>766</v>
      </c>
      <c r="T1315" s="72">
        <v>18.73</v>
      </c>
      <c r="U1315" s="71" t="s">
        <v>1</v>
      </c>
    </row>
    <row r="1316" spans="18:21" x14ac:dyDescent="0.55000000000000004">
      <c r="R1316" s="71">
        <v>766</v>
      </c>
      <c r="T1316" s="72">
        <v>19.68</v>
      </c>
      <c r="U1316" s="71" t="s">
        <v>1</v>
      </c>
    </row>
    <row r="1317" spans="18:21" x14ac:dyDescent="0.55000000000000004">
      <c r="R1317" s="71">
        <v>766</v>
      </c>
      <c r="T1317" s="72">
        <v>19.68</v>
      </c>
      <c r="U1317" s="71" t="s">
        <v>1</v>
      </c>
    </row>
    <row r="1318" spans="18:21" x14ac:dyDescent="0.55000000000000004">
      <c r="R1318" s="71">
        <v>766</v>
      </c>
      <c r="T1318" s="72">
        <v>20.04</v>
      </c>
      <c r="U1318" s="71" t="s">
        <v>1</v>
      </c>
    </row>
    <row r="1319" spans="18:21" x14ac:dyDescent="0.55000000000000004">
      <c r="R1319" s="71">
        <v>766</v>
      </c>
      <c r="T1319" s="72">
        <v>20.99</v>
      </c>
      <c r="U1319" s="71" t="s">
        <v>1</v>
      </c>
    </row>
    <row r="1320" spans="18:21" x14ac:dyDescent="0.55000000000000004">
      <c r="R1320" s="71">
        <v>766</v>
      </c>
      <c r="T1320" s="72">
        <v>24.78</v>
      </c>
      <c r="U1320" s="71" t="s">
        <v>1</v>
      </c>
    </row>
    <row r="1321" spans="18:21" x14ac:dyDescent="0.55000000000000004">
      <c r="R1321" s="71">
        <v>771</v>
      </c>
      <c r="T1321" s="72">
        <v>17.510000000000002</v>
      </c>
      <c r="U1321" s="71" t="s">
        <v>1</v>
      </c>
    </row>
    <row r="1322" spans="18:21" x14ac:dyDescent="0.55000000000000004">
      <c r="R1322" s="71">
        <v>771</v>
      </c>
      <c r="T1322" s="72">
        <v>18.510000000000002</v>
      </c>
      <c r="U1322" s="71" t="s">
        <v>1</v>
      </c>
    </row>
    <row r="1323" spans="18:21" x14ac:dyDescent="0.55000000000000004">
      <c r="R1323" s="71">
        <v>771</v>
      </c>
      <c r="T1323" s="72">
        <v>18.510000000000002</v>
      </c>
      <c r="U1323" s="71" t="s">
        <v>1</v>
      </c>
    </row>
    <row r="1324" spans="18:21" x14ac:dyDescent="0.55000000000000004">
      <c r="R1324" s="71">
        <v>776</v>
      </c>
      <c r="T1324" s="72">
        <v>18</v>
      </c>
      <c r="U1324" s="71" t="s">
        <v>1</v>
      </c>
    </row>
    <row r="1325" spans="18:21" x14ac:dyDescent="0.55000000000000004">
      <c r="R1325" s="71">
        <v>776</v>
      </c>
      <c r="T1325" s="72">
        <v>21</v>
      </c>
      <c r="U1325" s="71" t="s">
        <v>1</v>
      </c>
    </row>
    <row r="1326" spans="18:21" x14ac:dyDescent="0.55000000000000004">
      <c r="R1326" s="71">
        <v>776</v>
      </c>
      <c r="T1326" s="72">
        <v>21</v>
      </c>
      <c r="U1326" s="71" t="s">
        <v>1</v>
      </c>
    </row>
    <row r="1327" spans="18:21" x14ac:dyDescent="0.55000000000000004">
      <c r="R1327" s="71">
        <v>777</v>
      </c>
      <c r="T1327" s="72">
        <v>17.559999999999999</v>
      </c>
      <c r="U1327" s="71" t="s">
        <v>1</v>
      </c>
    </row>
    <row r="1328" spans="18:21" x14ac:dyDescent="0.55000000000000004">
      <c r="R1328" s="71">
        <v>777</v>
      </c>
      <c r="T1328" s="72">
        <v>17.66</v>
      </c>
      <c r="U1328" s="71" t="s">
        <v>1</v>
      </c>
    </row>
    <row r="1329" spans="18:21" x14ac:dyDescent="0.55000000000000004">
      <c r="R1329" s="71">
        <v>777</v>
      </c>
      <c r="T1329" s="72">
        <v>18.11</v>
      </c>
      <c r="U1329" s="71" t="s">
        <v>1</v>
      </c>
    </row>
    <row r="1330" spans="18:21" x14ac:dyDescent="0.55000000000000004">
      <c r="R1330" s="71">
        <v>777</v>
      </c>
      <c r="T1330" s="72">
        <v>18.91</v>
      </c>
      <c r="U1330" s="71" t="s">
        <v>1</v>
      </c>
    </row>
    <row r="1331" spans="18:21" x14ac:dyDescent="0.55000000000000004">
      <c r="R1331" s="71">
        <v>777</v>
      </c>
      <c r="T1331" s="72">
        <v>19.57</v>
      </c>
      <c r="U1331" s="71" t="s">
        <v>1</v>
      </c>
    </row>
    <row r="1332" spans="18:21" x14ac:dyDescent="0.55000000000000004">
      <c r="R1332" s="71">
        <v>783</v>
      </c>
      <c r="T1332" s="72">
        <v>15.42</v>
      </c>
      <c r="U1332" s="71" t="s">
        <v>1</v>
      </c>
    </row>
    <row r="1333" spans="18:21" x14ac:dyDescent="0.55000000000000004">
      <c r="R1333" s="71">
        <v>783</v>
      </c>
      <c r="T1333" s="72">
        <v>16.91</v>
      </c>
      <c r="U1333" s="71" t="s">
        <v>1</v>
      </c>
    </row>
    <row r="1334" spans="18:21" x14ac:dyDescent="0.55000000000000004">
      <c r="R1334" s="71">
        <v>783</v>
      </c>
      <c r="T1334" s="72">
        <v>18.374400000000001</v>
      </c>
      <c r="U1334" s="71" t="s">
        <v>1</v>
      </c>
    </row>
    <row r="1335" spans="18:21" x14ac:dyDescent="0.55000000000000004">
      <c r="R1335" s="71">
        <v>783</v>
      </c>
      <c r="T1335" s="72">
        <v>21.084299999999999</v>
      </c>
      <c r="U1335" s="71" t="s">
        <v>1</v>
      </c>
    </row>
    <row r="1336" spans="18:21" x14ac:dyDescent="0.55000000000000004">
      <c r="R1336" s="71">
        <v>788</v>
      </c>
      <c r="T1336" s="72">
        <v>18.8</v>
      </c>
      <c r="U1336" s="71" t="s">
        <v>1</v>
      </c>
    </row>
    <row r="1337" spans="18:21" x14ac:dyDescent="0.55000000000000004">
      <c r="R1337" s="71">
        <v>788</v>
      </c>
      <c r="T1337" s="72">
        <v>18.8</v>
      </c>
      <c r="U1337" s="71" t="s">
        <v>1</v>
      </c>
    </row>
    <row r="1338" spans="18:21" x14ac:dyDescent="0.55000000000000004">
      <c r="R1338" s="71">
        <v>788</v>
      </c>
      <c r="T1338" s="72">
        <v>18.8</v>
      </c>
      <c r="U1338" s="71" t="s">
        <v>1</v>
      </c>
    </row>
    <row r="1339" spans="18:21" x14ac:dyDescent="0.55000000000000004">
      <c r="R1339" s="71">
        <v>803</v>
      </c>
      <c r="T1339" s="72">
        <v>18.329999999999998</v>
      </c>
      <c r="U1339" s="71" t="s">
        <v>1</v>
      </c>
    </row>
    <row r="1340" spans="18:21" x14ac:dyDescent="0.55000000000000004">
      <c r="R1340" s="71">
        <v>803</v>
      </c>
      <c r="T1340" s="72">
        <v>19.899999999999999</v>
      </c>
      <c r="U1340" s="71" t="s">
        <v>1</v>
      </c>
    </row>
    <row r="1341" spans="18:21" x14ac:dyDescent="0.55000000000000004">
      <c r="R1341" s="71">
        <v>803</v>
      </c>
      <c r="T1341" s="72">
        <v>17.809999999999999</v>
      </c>
      <c r="U1341" s="71" t="s">
        <v>1</v>
      </c>
    </row>
    <row r="1342" spans="18:21" x14ac:dyDescent="0.55000000000000004">
      <c r="R1342" s="71">
        <v>803</v>
      </c>
      <c r="T1342" s="72">
        <v>17.809999999999999</v>
      </c>
      <c r="U1342" s="71" t="s">
        <v>1</v>
      </c>
    </row>
    <row r="1343" spans="18:21" x14ac:dyDescent="0.55000000000000004">
      <c r="R1343" s="71">
        <v>814</v>
      </c>
      <c r="T1343" s="72">
        <v>20</v>
      </c>
      <c r="U1343" s="71" t="s">
        <v>1</v>
      </c>
    </row>
    <row r="1344" spans="18:21" x14ac:dyDescent="0.55000000000000004">
      <c r="R1344" s="71">
        <v>814</v>
      </c>
      <c r="T1344" s="72">
        <v>21</v>
      </c>
      <c r="U1344" s="71" t="s">
        <v>1</v>
      </c>
    </row>
    <row r="1345" spans="18:21" x14ac:dyDescent="0.55000000000000004">
      <c r="R1345" s="71">
        <v>814</v>
      </c>
      <c r="T1345" s="72">
        <v>24.16</v>
      </c>
      <c r="U1345" s="71" t="s">
        <v>1</v>
      </c>
    </row>
    <row r="1346" spans="18:21" x14ac:dyDescent="0.55000000000000004">
      <c r="R1346" s="71">
        <v>824</v>
      </c>
      <c r="T1346" s="72">
        <v>17.59</v>
      </c>
      <c r="U1346" s="71" t="s">
        <v>1</v>
      </c>
    </row>
    <row r="1347" spans="18:21" x14ac:dyDescent="0.55000000000000004">
      <c r="R1347" s="71">
        <v>824</v>
      </c>
      <c r="T1347" s="72">
        <v>21.3</v>
      </c>
      <c r="U1347" s="71" t="s">
        <v>1</v>
      </c>
    </row>
    <row r="1348" spans="18:21" x14ac:dyDescent="0.55000000000000004">
      <c r="R1348" s="71">
        <v>824</v>
      </c>
      <c r="T1348" s="72">
        <v>21.8</v>
      </c>
      <c r="U1348" s="71" t="s">
        <v>1</v>
      </c>
    </row>
    <row r="1349" spans="18:21" x14ac:dyDescent="0.55000000000000004">
      <c r="R1349" s="71">
        <v>824</v>
      </c>
      <c r="T1349" s="72">
        <v>22.65</v>
      </c>
      <c r="U1349" s="71" t="s">
        <v>1</v>
      </c>
    </row>
    <row r="1350" spans="18:21" x14ac:dyDescent="0.55000000000000004">
      <c r="R1350" s="71">
        <v>824</v>
      </c>
      <c r="T1350" s="72">
        <v>22.98</v>
      </c>
      <c r="U1350" s="71" t="s">
        <v>1</v>
      </c>
    </row>
    <row r="1351" spans="18:21" x14ac:dyDescent="0.55000000000000004">
      <c r="R1351" s="71">
        <v>824</v>
      </c>
      <c r="T1351" s="72">
        <v>23.37</v>
      </c>
      <c r="U1351" s="71" t="s">
        <v>1</v>
      </c>
    </row>
    <row r="1352" spans="18:21" x14ac:dyDescent="0.55000000000000004">
      <c r="R1352" s="71">
        <v>824</v>
      </c>
      <c r="T1352" s="72">
        <v>23.37</v>
      </c>
      <c r="U1352" s="71" t="s">
        <v>1</v>
      </c>
    </row>
    <row r="1353" spans="18:21" x14ac:dyDescent="0.55000000000000004">
      <c r="R1353" s="71">
        <v>826</v>
      </c>
      <c r="T1353" s="72">
        <v>18.489999999999998</v>
      </c>
      <c r="U1353" s="71" t="s">
        <v>1</v>
      </c>
    </row>
    <row r="1354" spans="18:21" x14ac:dyDescent="0.55000000000000004">
      <c r="R1354" s="71">
        <v>826</v>
      </c>
      <c r="T1354" s="72">
        <v>20.58</v>
      </c>
      <c r="U1354" s="71" t="s">
        <v>1</v>
      </c>
    </row>
    <row r="1355" spans="18:21" x14ac:dyDescent="0.55000000000000004">
      <c r="R1355" s="71">
        <v>826</v>
      </c>
      <c r="T1355" s="72">
        <v>21.48</v>
      </c>
      <c r="U1355" s="71" t="s">
        <v>1</v>
      </c>
    </row>
    <row r="1356" spans="18:21" x14ac:dyDescent="0.55000000000000004">
      <c r="R1356" s="71">
        <v>828</v>
      </c>
      <c r="T1356" s="72">
        <v>14.03</v>
      </c>
      <c r="U1356" s="71" t="s">
        <v>1</v>
      </c>
    </row>
    <row r="1357" spans="18:21" x14ac:dyDescent="0.55000000000000004">
      <c r="R1357" s="71">
        <v>828</v>
      </c>
      <c r="T1357" s="72">
        <v>15</v>
      </c>
      <c r="U1357" s="71" t="s">
        <v>1</v>
      </c>
    </row>
    <row r="1358" spans="18:21" x14ac:dyDescent="0.55000000000000004">
      <c r="R1358" s="71">
        <v>828</v>
      </c>
      <c r="T1358" s="72">
        <v>15.67</v>
      </c>
      <c r="U1358" s="71" t="s">
        <v>1</v>
      </c>
    </row>
    <row r="1359" spans="18:21" x14ac:dyDescent="0.55000000000000004">
      <c r="R1359" s="71">
        <v>828</v>
      </c>
      <c r="T1359" s="72">
        <v>15.67</v>
      </c>
      <c r="U1359" s="71" t="s">
        <v>1</v>
      </c>
    </row>
    <row r="1360" spans="18:21" x14ac:dyDescent="0.55000000000000004">
      <c r="R1360" s="71">
        <v>828</v>
      </c>
      <c r="T1360" s="72">
        <v>16.18</v>
      </c>
      <c r="U1360" s="71" t="s">
        <v>1</v>
      </c>
    </row>
    <row r="1361" spans="18:21" x14ac:dyDescent="0.55000000000000004">
      <c r="R1361" s="71">
        <v>828</v>
      </c>
      <c r="T1361" s="72">
        <v>16.18</v>
      </c>
      <c r="U1361" s="71" t="s">
        <v>1</v>
      </c>
    </row>
    <row r="1362" spans="18:21" x14ac:dyDescent="0.55000000000000004">
      <c r="R1362" s="71">
        <v>828</v>
      </c>
      <c r="T1362" s="72">
        <v>16.670000000000002</v>
      </c>
      <c r="U1362" s="71" t="s">
        <v>1</v>
      </c>
    </row>
    <row r="1363" spans="18:21" x14ac:dyDescent="0.55000000000000004">
      <c r="R1363" s="71">
        <v>828</v>
      </c>
      <c r="T1363" s="72">
        <v>16.670000000000002</v>
      </c>
      <c r="U1363" s="71" t="s">
        <v>1</v>
      </c>
    </row>
    <row r="1364" spans="18:21" x14ac:dyDescent="0.55000000000000004">
      <c r="R1364" s="71">
        <v>828</v>
      </c>
      <c r="T1364" s="72">
        <v>17.79</v>
      </c>
      <c r="U1364" s="71" t="s">
        <v>1</v>
      </c>
    </row>
    <row r="1365" spans="18:21" x14ac:dyDescent="0.55000000000000004">
      <c r="R1365" s="71">
        <v>828</v>
      </c>
      <c r="T1365" s="72">
        <v>18.07</v>
      </c>
      <c r="U1365" s="71" t="s">
        <v>1</v>
      </c>
    </row>
    <row r="1366" spans="18:21" x14ac:dyDescent="0.55000000000000004">
      <c r="R1366" s="71">
        <v>828</v>
      </c>
      <c r="T1366" s="72">
        <v>18.57</v>
      </c>
      <c r="U1366" s="71" t="s">
        <v>1</v>
      </c>
    </row>
    <row r="1367" spans="18:21" x14ac:dyDescent="0.55000000000000004">
      <c r="R1367" s="71">
        <v>828</v>
      </c>
      <c r="T1367" s="72">
        <v>18.57</v>
      </c>
      <c r="U1367" s="71" t="s">
        <v>1</v>
      </c>
    </row>
    <row r="1368" spans="18:21" x14ac:dyDescent="0.55000000000000004">
      <c r="R1368" s="71">
        <v>828</v>
      </c>
      <c r="T1368" s="72">
        <v>21.09</v>
      </c>
      <c r="U1368" s="71" t="s">
        <v>1</v>
      </c>
    </row>
    <row r="1369" spans="18:21" x14ac:dyDescent="0.55000000000000004">
      <c r="R1369" s="71">
        <v>852</v>
      </c>
      <c r="T1369" s="72">
        <v>21.75</v>
      </c>
      <c r="U1369" s="71" t="s">
        <v>1</v>
      </c>
    </row>
    <row r="1370" spans="18:21" x14ac:dyDescent="0.55000000000000004">
      <c r="R1370" s="71">
        <v>861</v>
      </c>
      <c r="T1370" s="72">
        <v>19.170000000000002</v>
      </c>
      <c r="U1370" s="71" t="s">
        <v>1</v>
      </c>
    </row>
    <row r="1371" spans="18:21" x14ac:dyDescent="0.55000000000000004">
      <c r="R1371" s="71">
        <v>861</v>
      </c>
      <c r="T1371" s="72">
        <v>24.72</v>
      </c>
      <c r="U1371" s="71" t="s">
        <v>1</v>
      </c>
    </row>
    <row r="1372" spans="18:21" x14ac:dyDescent="0.55000000000000004">
      <c r="R1372" s="71">
        <v>861</v>
      </c>
      <c r="T1372" s="72">
        <v>24.72</v>
      </c>
      <c r="U1372" s="71" t="s">
        <v>1</v>
      </c>
    </row>
    <row r="1373" spans="18:21" x14ac:dyDescent="0.55000000000000004">
      <c r="R1373" s="71">
        <v>861</v>
      </c>
      <c r="T1373" s="72">
        <v>24.72</v>
      </c>
      <c r="U1373" s="71" t="s">
        <v>1</v>
      </c>
    </row>
    <row r="1374" spans="18:21" x14ac:dyDescent="0.55000000000000004">
      <c r="R1374" s="71">
        <v>861</v>
      </c>
      <c r="T1374" s="72">
        <v>25.75</v>
      </c>
      <c r="U1374" s="71" t="s">
        <v>1</v>
      </c>
    </row>
    <row r="1375" spans="18:21" x14ac:dyDescent="0.55000000000000004">
      <c r="R1375" s="71">
        <v>883</v>
      </c>
      <c r="T1375" s="72">
        <v>19</v>
      </c>
      <c r="U1375" s="71" t="s">
        <v>1</v>
      </c>
    </row>
    <row r="1376" spans="18:21" x14ac:dyDescent="0.55000000000000004">
      <c r="R1376" s="71">
        <v>883</v>
      </c>
      <c r="T1376" s="72">
        <v>20.25</v>
      </c>
      <c r="U1376" s="71" t="s">
        <v>1</v>
      </c>
    </row>
    <row r="1377" spans="18:21" x14ac:dyDescent="0.55000000000000004">
      <c r="R1377" s="71">
        <v>883</v>
      </c>
      <c r="T1377" s="72">
        <v>20.83</v>
      </c>
      <c r="U1377" s="71" t="s">
        <v>1</v>
      </c>
    </row>
    <row r="1378" spans="18:21" x14ac:dyDescent="0.55000000000000004">
      <c r="R1378" s="71">
        <v>883</v>
      </c>
      <c r="T1378" s="72">
        <v>21</v>
      </c>
      <c r="U1378" s="71" t="s">
        <v>1</v>
      </c>
    </row>
    <row r="1379" spans="18:21" x14ac:dyDescent="0.55000000000000004">
      <c r="R1379" s="71">
        <v>883</v>
      </c>
      <c r="T1379" s="72">
        <v>21.01</v>
      </c>
      <c r="U1379" s="71" t="s">
        <v>1</v>
      </c>
    </row>
    <row r="1380" spans="18:21" x14ac:dyDescent="0.55000000000000004">
      <c r="R1380" s="71">
        <v>883</v>
      </c>
      <c r="T1380" s="72">
        <v>22</v>
      </c>
      <c r="U1380" s="71" t="s">
        <v>1</v>
      </c>
    </row>
    <row r="1381" spans="18:21" x14ac:dyDescent="0.55000000000000004">
      <c r="R1381" s="71">
        <v>883</v>
      </c>
      <c r="T1381" s="72">
        <v>22</v>
      </c>
      <c r="U1381" s="71" t="s">
        <v>1</v>
      </c>
    </row>
    <row r="1382" spans="18:21" x14ac:dyDescent="0.55000000000000004">
      <c r="R1382" s="71">
        <v>883</v>
      </c>
      <c r="T1382" s="72">
        <v>22.23</v>
      </c>
      <c r="U1382" s="71" t="s">
        <v>1</v>
      </c>
    </row>
    <row r="1383" spans="18:21" x14ac:dyDescent="0.55000000000000004">
      <c r="R1383" s="71">
        <v>883</v>
      </c>
      <c r="T1383" s="72">
        <v>23</v>
      </c>
      <c r="U1383" s="71" t="s">
        <v>1</v>
      </c>
    </row>
    <row r="1384" spans="18:21" x14ac:dyDescent="0.55000000000000004">
      <c r="R1384" s="71">
        <v>883</v>
      </c>
      <c r="T1384" s="72">
        <v>23</v>
      </c>
      <c r="U1384" s="71" t="s">
        <v>1</v>
      </c>
    </row>
    <row r="1385" spans="18:21" x14ac:dyDescent="0.55000000000000004">
      <c r="R1385" s="71">
        <v>883</v>
      </c>
      <c r="T1385" s="72">
        <v>24</v>
      </c>
      <c r="U1385" s="71" t="s">
        <v>1</v>
      </c>
    </row>
    <row r="1386" spans="18:21" x14ac:dyDescent="0.55000000000000004">
      <c r="R1386" s="71">
        <v>883</v>
      </c>
      <c r="T1386" s="72">
        <v>24</v>
      </c>
      <c r="U1386" s="71" t="s">
        <v>1</v>
      </c>
    </row>
    <row r="1387" spans="18:21" x14ac:dyDescent="0.55000000000000004">
      <c r="R1387" s="71">
        <v>883</v>
      </c>
      <c r="T1387" s="72">
        <v>26</v>
      </c>
      <c r="U1387" s="71" t="s">
        <v>1</v>
      </c>
    </row>
    <row r="1388" spans="18:21" x14ac:dyDescent="0.55000000000000004">
      <c r="R1388" s="71">
        <v>883</v>
      </c>
      <c r="T1388" s="72">
        <v>26.98</v>
      </c>
      <c r="U1388" s="71" t="s">
        <v>1</v>
      </c>
    </row>
    <row r="1389" spans="18:21" x14ac:dyDescent="0.55000000000000004">
      <c r="R1389" s="71">
        <v>901</v>
      </c>
      <c r="T1389" s="72">
        <v>16.53</v>
      </c>
      <c r="U1389" s="71" t="s">
        <v>1</v>
      </c>
    </row>
    <row r="1390" spans="18:21" x14ac:dyDescent="0.55000000000000004">
      <c r="R1390" s="71">
        <v>901</v>
      </c>
      <c r="T1390" s="72">
        <v>18.059999999999999</v>
      </c>
      <c r="U1390" s="71" t="s">
        <v>1</v>
      </c>
    </row>
    <row r="1391" spans="18:21" x14ac:dyDescent="0.55000000000000004">
      <c r="R1391" s="71">
        <v>901</v>
      </c>
      <c r="T1391" s="72">
        <v>18.43</v>
      </c>
      <c r="U1391" s="71" t="s">
        <v>1</v>
      </c>
    </row>
    <row r="1392" spans="18:21" x14ac:dyDescent="0.55000000000000004">
      <c r="R1392" s="71">
        <v>910</v>
      </c>
      <c r="T1392" s="72">
        <v>16</v>
      </c>
      <c r="U1392" s="71" t="s">
        <v>1</v>
      </c>
    </row>
    <row r="1393" spans="18:21" x14ac:dyDescent="0.55000000000000004">
      <c r="R1393" s="71">
        <v>910</v>
      </c>
      <c r="T1393" s="72">
        <v>16.525218584725504</v>
      </c>
      <c r="U1393" s="71" t="s">
        <v>1</v>
      </c>
    </row>
    <row r="1394" spans="18:21" x14ac:dyDescent="0.55000000000000004">
      <c r="R1394" s="71">
        <v>910</v>
      </c>
      <c r="T1394" s="72">
        <v>17</v>
      </c>
      <c r="U1394" s="71" t="s">
        <v>1</v>
      </c>
    </row>
    <row r="1395" spans="18:21" x14ac:dyDescent="0.55000000000000004">
      <c r="R1395" s="71">
        <v>910</v>
      </c>
      <c r="T1395" s="72">
        <v>17</v>
      </c>
      <c r="U1395" s="71" t="s">
        <v>1</v>
      </c>
    </row>
    <row r="1396" spans="18:21" x14ac:dyDescent="0.55000000000000004">
      <c r="R1396" s="71">
        <v>910</v>
      </c>
      <c r="T1396" s="72">
        <v>18</v>
      </c>
      <c r="U1396" s="71" t="s">
        <v>1</v>
      </c>
    </row>
    <row r="1397" spans="18:21" x14ac:dyDescent="0.55000000000000004">
      <c r="R1397" s="71">
        <v>910</v>
      </c>
      <c r="T1397" s="72">
        <v>18</v>
      </c>
      <c r="U1397" s="71" t="s">
        <v>1</v>
      </c>
    </row>
    <row r="1398" spans="18:21" x14ac:dyDescent="0.55000000000000004">
      <c r="R1398" s="71">
        <v>910</v>
      </c>
      <c r="T1398" s="72">
        <v>18.657618807729534</v>
      </c>
      <c r="U1398" s="71" t="s">
        <v>1</v>
      </c>
    </row>
    <row r="1399" spans="18:21" x14ac:dyDescent="0.55000000000000004">
      <c r="R1399" s="71">
        <v>910</v>
      </c>
      <c r="T1399" s="72">
        <v>18.657650727387725</v>
      </c>
      <c r="U1399" s="71" t="s">
        <v>1</v>
      </c>
    </row>
    <row r="1400" spans="18:21" x14ac:dyDescent="0.55000000000000004">
      <c r="R1400" s="71">
        <v>910</v>
      </c>
      <c r="T1400" s="72">
        <v>18.660383414455342</v>
      </c>
      <c r="U1400" s="71" t="s">
        <v>1</v>
      </c>
    </row>
    <row r="1401" spans="18:21" x14ac:dyDescent="0.55000000000000004">
      <c r="R1401" s="71">
        <v>910</v>
      </c>
      <c r="T1401" s="72">
        <v>18.720000000000006</v>
      </c>
      <c r="U1401" s="71" t="s">
        <v>1</v>
      </c>
    </row>
    <row r="1402" spans="18:21" x14ac:dyDescent="0.55000000000000004">
      <c r="R1402" s="71">
        <v>910</v>
      </c>
      <c r="T1402" s="72">
        <v>18.720000000000013</v>
      </c>
      <c r="U1402" s="71" t="s">
        <v>1</v>
      </c>
    </row>
    <row r="1403" spans="18:21" x14ac:dyDescent="0.55000000000000004">
      <c r="R1403" s="71">
        <v>910</v>
      </c>
      <c r="T1403" s="72">
        <v>19.759999999999994</v>
      </c>
      <c r="U1403" s="71" t="s">
        <v>1</v>
      </c>
    </row>
    <row r="1404" spans="18:21" x14ac:dyDescent="0.55000000000000004">
      <c r="R1404" s="71">
        <v>910</v>
      </c>
      <c r="T1404" s="72">
        <v>20.243599594784786</v>
      </c>
      <c r="U1404" s="71" t="s">
        <v>1</v>
      </c>
    </row>
    <row r="1405" spans="18:21" x14ac:dyDescent="0.55000000000000004">
      <c r="R1405" s="71">
        <v>910</v>
      </c>
      <c r="T1405" s="72">
        <v>23</v>
      </c>
      <c r="U1405" s="71" t="s">
        <v>1</v>
      </c>
    </row>
    <row r="1406" spans="18:21" x14ac:dyDescent="0.55000000000000004">
      <c r="R1406" s="71">
        <v>926</v>
      </c>
      <c r="T1406" s="72">
        <v>19.28</v>
      </c>
      <c r="U1406" s="71" t="s">
        <v>1</v>
      </c>
    </row>
    <row r="1407" spans="18:21" x14ac:dyDescent="0.55000000000000004">
      <c r="R1407" s="71">
        <v>926</v>
      </c>
      <c r="T1407" s="72">
        <v>19.86</v>
      </c>
      <c r="U1407" s="71" t="s">
        <v>1</v>
      </c>
    </row>
    <row r="1408" spans="18:21" x14ac:dyDescent="0.55000000000000004">
      <c r="R1408" s="71">
        <v>926</v>
      </c>
      <c r="T1408" s="72">
        <v>22.22</v>
      </c>
      <c r="U1408" s="71" t="s">
        <v>1</v>
      </c>
    </row>
    <row r="1409" spans="18:21" x14ac:dyDescent="0.55000000000000004">
      <c r="R1409" s="71">
        <v>926</v>
      </c>
      <c r="T1409" s="72">
        <v>23.3</v>
      </c>
      <c r="U1409" s="71" t="s">
        <v>1</v>
      </c>
    </row>
    <row r="1410" spans="18:21" x14ac:dyDescent="0.55000000000000004">
      <c r="R1410" s="71">
        <v>928</v>
      </c>
      <c r="T1410" s="72">
        <v>16</v>
      </c>
      <c r="U1410" s="71" t="s">
        <v>1</v>
      </c>
    </row>
    <row r="1411" spans="18:21" x14ac:dyDescent="0.55000000000000004">
      <c r="R1411" s="71">
        <v>928</v>
      </c>
      <c r="T1411" s="72">
        <v>17</v>
      </c>
      <c r="U1411" s="71" t="s">
        <v>1</v>
      </c>
    </row>
    <row r="1412" spans="18:21" x14ac:dyDescent="0.55000000000000004">
      <c r="R1412" s="71">
        <v>928</v>
      </c>
      <c r="T1412" s="72">
        <v>19.149999999999999</v>
      </c>
      <c r="U1412" s="71" t="s">
        <v>1</v>
      </c>
    </row>
    <row r="1413" spans="18:21" x14ac:dyDescent="0.55000000000000004">
      <c r="R1413" s="71">
        <v>951</v>
      </c>
      <c r="T1413" s="72">
        <v>17</v>
      </c>
      <c r="U1413" s="71" t="s">
        <v>1</v>
      </c>
    </row>
    <row r="1414" spans="18:21" x14ac:dyDescent="0.55000000000000004">
      <c r="R1414" s="71">
        <v>951</v>
      </c>
      <c r="T1414" s="72">
        <v>17.25</v>
      </c>
      <c r="U1414" s="71" t="s">
        <v>1</v>
      </c>
    </row>
    <row r="1415" spans="18:21" x14ac:dyDescent="0.55000000000000004">
      <c r="R1415" s="71">
        <v>951</v>
      </c>
      <c r="T1415" s="72">
        <v>17.25</v>
      </c>
      <c r="U1415" s="71" t="s">
        <v>1</v>
      </c>
    </row>
    <row r="1416" spans="18:21" x14ac:dyDescent="0.55000000000000004">
      <c r="R1416" s="71">
        <v>951</v>
      </c>
      <c r="T1416" s="72">
        <v>17.7</v>
      </c>
      <c r="U1416" s="71" t="s">
        <v>1</v>
      </c>
    </row>
    <row r="1417" spans="18:21" x14ac:dyDescent="0.55000000000000004">
      <c r="R1417" s="71">
        <v>951</v>
      </c>
      <c r="T1417" s="72">
        <v>17.899999999999999</v>
      </c>
      <c r="U1417" s="71" t="s">
        <v>1</v>
      </c>
    </row>
    <row r="1418" spans="18:21" x14ac:dyDescent="0.55000000000000004">
      <c r="R1418" s="71">
        <v>951</v>
      </c>
      <c r="T1418" s="72">
        <v>18.149999999999999</v>
      </c>
      <c r="U1418" s="71" t="s">
        <v>1</v>
      </c>
    </row>
    <row r="1419" spans="18:21" x14ac:dyDescent="0.55000000000000004">
      <c r="R1419" s="71">
        <v>951</v>
      </c>
      <c r="T1419" s="72">
        <v>20</v>
      </c>
      <c r="U1419" s="71" t="s">
        <v>1</v>
      </c>
    </row>
    <row r="1420" spans="18:21" x14ac:dyDescent="0.55000000000000004">
      <c r="R1420" s="71">
        <v>951</v>
      </c>
      <c r="T1420" s="72">
        <v>20</v>
      </c>
      <c r="U1420" s="71" t="s">
        <v>1</v>
      </c>
    </row>
    <row r="1421" spans="18:21" x14ac:dyDescent="0.55000000000000004">
      <c r="R1421" s="71">
        <v>953</v>
      </c>
      <c r="T1421" s="72">
        <v>20.239999999999998</v>
      </c>
      <c r="U1421" s="71" t="s">
        <v>1</v>
      </c>
    </row>
    <row r="1422" spans="18:21" x14ac:dyDescent="0.55000000000000004">
      <c r="R1422" s="71">
        <v>959</v>
      </c>
      <c r="T1422" s="72">
        <v>17.5</v>
      </c>
      <c r="U1422" s="71" t="s">
        <v>1</v>
      </c>
    </row>
    <row r="1423" spans="18:21" x14ac:dyDescent="0.55000000000000004">
      <c r="R1423" s="71">
        <v>959</v>
      </c>
      <c r="T1423" s="72">
        <v>18.350000000000001</v>
      </c>
      <c r="U1423" s="71" t="s">
        <v>1</v>
      </c>
    </row>
    <row r="1424" spans="18:21" x14ac:dyDescent="0.55000000000000004">
      <c r="R1424" s="71">
        <v>959</v>
      </c>
      <c r="T1424" s="72">
        <v>19.87</v>
      </c>
      <c r="U1424" s="71" t="s">
        <v>1</v>
      </c>
    </row>
    <row r="1425" spans="18:21" x14ac:dyDescent="0.55000000000000004">
      <c r="R1425" s="71">
        <v>959</v>
      </c>
      <c r="T1425" s="72">
        <v>21</v>
      </c>
      <c r="U1425" s="71" t="s">
        <v>1</v>
      </c>
    </row>
    <row r="1426" spans="18:21" x14ac:dyDescent="0.55000000000000004">
      <c r="R1426" s="71">
        <v>962</v>
      </c>
      <c r="T1426" s="72">
        <v>18.39</v>
      </c>
      <c r="U1426" s="71" t="s">
        <v>1</v>
      </c>
    </row>
    <row r="1427" spans="18:21" x14ac:dyDescent="0.55000000000000004">
      <c r="R1427" s="71">
        <v>962</v>
      </c>
      <c r="T1427" s="72">
        <v>19.7</v>
      </c>
      <c r="U1427" s="71" t="s">
        <v>1</v>
      </c>
    </row>
    <row r="1428" spans="18:21" x14ac:dyDescent="0.55000000000000004">
      <c r="R1428" s="71">
        <v>962</v>
      </c>
      <c r="T1428" s="72">
        <v>19.7</v>
      </c>
      <c r="U1428" s="71" t="s">
        <v>1</v>
      </c>
    </row>
    <row r="1429" spans="18:21" x14ac:dyDescent="0.55000000000000004">
      <c r="R1429" s="71">
        <v>962</v>
      </c>
      <c r="T1429" s="72">
        <v>19.7</v>
      </c>
      <c r="U1429" s="71" t="s">
        <v>1</v>
      </c>
    </row>
    <row r="1430" spans="18:21" x14ac:dyDescent="0.55000000000000004">
      <c r="R1430" s="71">
        <v>962</v>
      </c>
      <c r="T1430" s="72">
        <v>20.5</v>
      </c>
      <c r="U1430" s="71" t="s">
        <v>1</v>
      </c>
    </row>
    <row r="1431" spans="18:21" x14ac:dyDescent="0.55000000000000004">
      <c r="R1431" s="71">
        <v>967</v>
      </c>
      <c r="T1431" s="72">
        <v>18.5</v>
      </c>
      <c r="U1431" s="71" t="s">
        <v>1</v>
      </c>
    </row>
    <row r="1432" spans="18:21" x14ac:dyDescent="0.55000000000000004">
      <c r="R1432" s="71">
        <v>967</v>
      </c>
      <c r="T1432" s="72">
        <v>18.5</v>
      </c>
      <c r="U1432" s="71" t="s">
        <v>1</v>
      </c>
    </row>
    <row r="1433" spans="18:21" x14ac:dyDescent="0.55000000000000004">
      <c r="R1433" s="71">
        <v>967</v>
      </c>
      <c r="T1433" s="72">
        <v>19</v>
      </c>
      <c r="U1433" s="71" t="s">
        <v>1</v>
      </c>
    </row>
    <row r="1434" spans="18:21" x14ac:dyDescent="0.55000000000000004">
      <c r="R1434" s="71">
        <v>967</v>
      </c>
      <c r="T1434" s="72">
        <v>20</v>
      </c>
      <c r="U1434" s="71" t="s">
        <v>1</v>
      </c>
    </row>
    <row r="1435" spans="18:21" x14ac:dyDescent="0.55000000000000004">
      <c r="R1435" s="71">
        <v>984</v>
      </c>
      <c r="T1435" s="72">
        <v>17.22</v>
      </c>
      <c r="U1435" s="71" t="s">
        <v>1</v>
      </c>
    </row>
    <row r="1436" spans="18:21" x14ac:dyDescent="0.55000000000000004">
      <c r="R1436" s="71">
        <v>984</v>
      </c>
      <c r="T1436" s="72">
        <v>17.22</v>
      </c>
      <c r="U1436" s="71" t="s">
        <v>1</v>
      </c>
    </row>
    <row r="1437" spans="18:21" x14ac:dyDescent="0.55000000000000004">
      <c r="R1437" s="71">
        <v>984</v>
      </c>
      <c r="T1437" s="72">
        <v>18.559999999999999</v>
      </c>
      <c r="U1437" s="71" t="s">
        <v>1</v>
      </c>
    </row>
    <row r="1438" spans="18:21" x14ac:dyDescent="0.55000000000000004">
      <c r="R1438" s="71">
        <v>984</v>
      </c>
      <c r="T1438" s="72">
        <v>20.5</v>
      </c>
      <c r="U1438" s="71" t="s">
        <v>1</v>
      </c>
    </row>
    <row r="1439" spans="18:21" x14ac:dyDescent="0.55000000000000004">
      <c r="R1439" s="71">
        <v>997</v>
      </c>
      <c r="T1439" s="72">
        <v>16.214040000000001</v>
      </c>
      <c r="U1439" s="71" t="s">
        <v>1</v>
      </c>
    </row>
    <row r="1440" spans="18:21" x14ac:dyDescent="0.55000000000000004">
      <c r="R1440" s="71">
        <v>997</v>
      </c>
      <c r="T1440" s="72">
        <v>16.73404</v>
      </c>
      <c r="U1440" s="71" t="s">
        <v>1</v>
      </c>
    </row>
    <row r="1441" spans="18:21" x14ac:dyDescent="0.55000000000000004">
      <c r="R1441" s="71">
        <v>997</v>
      </c>
      <c r="T1441" s="72">
        <v>16.89404</v>
      </c>
      <c r="U1441" s="71" t="s">
        <v>1</v>
      </c>
    </row>
    <row r="1442" spans="18:21" x14ac:dyDescent="0.55000000000000004">
      <c r="R1442" s="71">
        <v>997</v>
      </c>
      <c r="T1442" s="72">
        <v>18.854040000000001</v>
      </c>
      <c r="U1442" s="71" t="s">
        <v>1</v>
      </c>
    </row>
    <row r="1557" spans="3:4" x14ac:dyDescent="0.55000000000000004">
      <c r="C1557" s="74"/>
      <c r="D1557" s="74"/>
    </row>
    <row r="1558" spans="3:4" x14ac:dyDescent="0.55000000000000004">
      <c r="C1558" s="74"/>
      <c r="D1558" s="74"/>
    </row>
    <row r="1559" spans="3:4" x14ac:dyDescent="0.55000000000000004">
      <c r="C1559" s="74"/>
      <c r="D1559" s="74"/>
    </row>
    <row r="1560" spans="3:4" x14ac:dyDescent="0.55000000000000004">
      <c r="C1560" s="74"/>
      <c r="D1560" s="74"/>
    </row>
    <row r="1561" spans="3:4" x14ac:dyDescent="0.55000000000000004">
      <c r="C1561" s="74"/>
      <c r="D1561" s="74"/>
    </row>
    <row r="1562" spans="3:4" x14ac:dyDescent="0.55000000000000004">
      <c r="C1562" s="74"/>
      <c r="D1562" s="74"/>
    </row>
    <row r="1563" spans="3:4" x14ac:dyDescent="0.55000000000000004">
      <c r="C1563" s="74"/>
      <c r="D1563" s="74"/>
    </row>
    <row r="1564" spans="3:4" x14ac:dyDescent="0.55000000000000004">
      <c r="C1564" s="74"/>
      <c r="D1564" s="74"/>
    </row>
    <row r="1565" spans="3:4" x14ac:dyDescent="0.55000000000000004">
      <c r="C1565" s="74"/>
      <c r="D1565" s="74"/>
    </row>
    <row r="1566" spans="3:4" x14ac:dyDescent="0.55000000000000004">
      <c r="C1566" s="74"/>
      <c r="D1566" s="74"/>
    </row>
    <row r="1567" spans="3:4" x14ac:dyDescent="0.55000000000000004">
      <c r="C1567" s="74"/>
      <c r="D1567" s="74"/>
    </row>
    <row r="1568" spans="3:4" x14ac:dyDescent="0.55000000000000004">
      <c r="C1568" s="74"/>
      <c r="D1568" s="74"/>
    </row>
    <row r="1569" spans="3:4" x14ac:dyDescent="0.55000000000000004">
      <c r="C1569" s="74"/>
      <c r="D1569" s="74"/>
    </row>
    <row r="1570" spans="3:4" x14ac:dyDescent="0.55000000000000004">
      <c r="C1570" s="74"/>
      <c r="D1570" s="74"/>
    </row>
    <row r="1571" spans="3:4" x14ac:dyDescent="0.55000000000000004">
      <c r="C1571" s="74"/>
      <c r="D1571" s="74"/>
    </row>
    <row r="1572" spans="3:4" x14ac:dyDescent="0.55000000000000004">
      <c r="C1572" s="74"/>
      <c r="D1572" s="74"/>
    </row>
    <row r="1573" spans="3:4" x14ac:dyDescent="0.55000000000000004">
      <c r="C1573" s="74"/>
      <c r="D1573" s="74"/>
    </row>
    <row r="1574" spans="3:4" x14ac:dyDescent="0.55000000000000004">
      <c r="C1574" s="74"/>
      <c r="D1574" s="74"/>
    </row>
    <row r="1575" spans="3:4" x14ac:dyDescent="0.55000000000000004">
      <c r="C1575" s="74"/>
      <c r="D1575" s="74"/>
    </row>
    <row r="1576" spans="3:4" x14ac:dyDescent="0.55000000000000004">
      <c r="C1576" s="74"/>
      <c r="D1576" s="74"/>
    </row>
    <row r="1577" spans="3:4" x14ac:dyDescent="0.55000000000000004">
      <c r="C1577" s="74"/>
      <c r="D1577" s="74"/>
    </row>
    <row r="1578" spans="3:4" x14ac:dyDescent="0.55000000000000004">
      <c r="C1578" s="74"/>
      <c r="D1578" s="74"/>
    </row>
    <row r="1579" spans="3:4" x14ac:dyDescent="0.55000000000000004">
      <c r="C1579" s="74"/>
      <c r="D1579" s="74"/>
    </row>
    <row r="1580" spans="3:4" x14ac:dyDescent="0.55000000000000004">
      <c r="C1580" s="74"/>
      <c r="D1580" s="74"/>
    </row>
    <row r="1581" spans="3:4" x14ac:dyDescent="0.55000000000000004">
      <c r="C1581" s="74"/>
      <c r="D1581" s="74"/>
    </row>
    <row r="1582" spans="3:4" x14ac:dyDescent="0.55000000000000004">
      <c r="C1582" s="74"/>
      <c r="D1582" s="74"/>
    </row>
    <row r="1583" spans="3:4" x14ac:dyDescent="0.55000000000000004">
      <c r="C1583" s="74"/>
      <c r="D1583" s="74"/>
    </row>
    <row r="1584" spans="3:4" x14ac:dyDescent="0.55000000000000004">
      <c r="C1584" s="74"/>
      <c r="D1584" s="74"/>
    </row>
    <row r="1585" spans="3:4" x14ac:dyDescent="0.55000000000000004">
      <c r="C1585" s="74"/>
      <c r="D1585" s="74"/>
    </row>
    <row r="1586" spans="3:4" x14ac:dyDescent="0.55000000000000004">
      <c r="C1586" s="74"/>
      <c r="D1586" s="74"/>
    </row>
    <row r="1587" spans="3:4" x14ac:dyDescent="0.55000000000000004">
      <c r="C1587" s="74"/>
      <c r="D1587" s="74"/>
    </row>
    <row r="1588" spans="3:4" x14ac:dyDescent="0.55000000000000004">
      <c r="C1588" s="74"/>
      <c r="D1588" s="74"/>
    </row>
    <row r="1589" spans="3:4" x14ac:dyDescent="0.55000000000000004">
      <c r="C1589" s="74"/>
      <c r="D1589" s="74"/>
    </row>
    <row r="1590" spans="3:4" x14ac:dyDescent="0.55000000000000004">
      <c r="C1590" s="74"/>
      <c r="D1590" s="74"/>
    </row>
    <row r="1591" spans="3:4" x14ac:dyDescent="0.55000000000000004">
      <c r="C1591" s="74"/>
      <c r="D1591" s="74"/>
    </row>
    <row r="1592" spans="3:4" x14ac:dyDescent="0.55000000000000004">
      <c r="C1592" s="74"/>
      <c r="D1592" s="74"/>
    </row>
    <row r="1593" spans="3:4" x14ac:dyDescent="0.55000000000000004">
      <c r="C1593" s="74"/>
      <c r="D1593" s="74"/>
    </row>
    <row r="1594" spans="3:4" x14ac:dyDescent="0.55000000000000004">
      <c r="C1594" s="74"/>
      <c r="D1594" s="74"/>
    </row>
    <row r="1595" spans="3:4" x14ac:dyDescent="0.55000000000000004">
      <c r="C1595" s="74"/>
      <c r="D1595" s="74"/>
    </row>
    <row r="1596" spans="3:4" x14ac:dyDescent="0.55000000000000004">
      <c r="C1596" s="74"/>
      <c r="D1596" s="74"/>
    </row>
    <row r="1597" spans="3:4" x14ac:dyDescent="0.55000000000000004">
      <c r="C1597" s="74"/>
      <c r="D1597" s="74"/>
    </row>
    <row r="1598" spans="3:4" x14ac:dyDescent="0.55000000000000004">
      <c r="C1598" s="74"/>
      <c r="D1598" s="74"/>
    </row>
    <row r="1599" spans="3:4" x14ac:dyDescent="0.55000000000000004">
      <c r="C1599" s="74"/>
      <c r="D1599" s="74"/>
    </row>
    <row r="1600" spans="3:4" x14ac:dyDescent="0.55000000000000004">
      <c r="C1600" s="74"/>
      <c r="D1600" s="74"/>
    </row>
    <row r="1601" spans="3:4" x14ac:dyDescent="0.55000000000000004">
      <c r="C1601" s="74"/>
      <c r="D1601" s="74"/>
    </row>
    <row r="1602" spans="3:4" x14ac:dyDescent="0.55000000000000004">
      <c r="C1602" s="74"/>
      <c r="D1602" s="74"/>
    </row>
    <row r="1603" spans="3:4" x14ac:dyDescent="0.55000000000000004">
      <c r="C1603" s="74"/>
      <c r="D1603" s="74"/>
    </row>
    <row r="1604" spans="3:4" x14ac:dyDescent="0.55000000000000004">
      <c r="C1604" s="74"/>
      <c r="D1604" s="74"/>
    </row>
    <row r="1605" spans="3:4" x14ac:dyDescent="0.55000000000000004">
      <c r="C1605" s="74"/>
      <c r="D1605" s="74"/>
    </row>
    <row r="1606" spans="3:4" x14ac:dyDescent="0.55000000000000004">
      <c r="C1606" s="74"/>
      <c r="D1606" s="74"/>
    </row>
    <row r="1607" spans="3:4" x14ac:dyDescent="0.55000000000000004">
      <c r="C1607" s="74"/>
      <c r="D1607" s="74"/>
    </row>
    <row r="1608" spans="3:4" x14ac:dyDescent="0.55000000000000004">
      <c r="C1608" s="74"/>
      <c r="D1608" s="74"/>
    </row>
    <row r="1609" spans="3:4" x14ac:dyDescent="0.55000000000000004">
      <c r="C1609" s="74"/>
      <c r="D1609" s="74"/>
    </row>
    <row r="1610" spans="3:4" x14ac:dyDescent="0.55000000000000004">
      <c r="C1610" s="74"/>
      <c r="D1610" s="74"/>
    </row>
    <row r="1611" spans="3:4" x14ac:dyDescent="0.55000000000000004">
      <c r="C1611" s="74"/>
      <c r="D1611" s="74"/>
    </row>
    <row r="1612" spans="3:4" x14ac:dyDescent="0.55000000000000004">
      <c r="C1612" s="74"/>
      <c r="D1612" s="74"/>
    </row>
    <row r="1613" spans="3:4" x14ac:dyDescent="0.55000000000000004">
      <c r="C1613" s="74"/>
      <c r="D1613" s="74"/>
    </row>
    <row r="1614" spans="3:4" x14ac:dyDescent="0.55000000000000004">
      <c r="C1614" s="74"/>
      <c r="D1614" s="74"/>
    </row>
    <row r="1615" spans="3:4" x14ac:dyDescent="0.55000000000000004">
      <c r="C1615" s="74"/>
      <c r="D1615" s="74"/>
    </row>
    <row r="1616" spans="3:4" x14ac:dyDescent="0.55000000000000004">
      <c r="C1616" s="74"/>
      <c r="D1616" s="74"/>
    </row>
    <row r="1617" spans="3:4" x14ac:dyDescent="0.55000000000000004">
      <c r="C1617" s="74"/>
      <c r="D1617" s="74"/>
    </row>
    <row r="1618" spans="3:4" x14ac:dyDescent="0.55000000000000004">
      <c r="C1618" s="74"/>
      <c r="D1618" s="74"/>
    </row>
    <row r="1619" spans="3:4" x14ac:dyDescent="0.55000000000000004">
      <c r="C1619" s="74"/>
      <c r="D1619" s="74"/>
    </row>
    <row r="1620" spans="3:4" x14ac:dyDescent="0.55000000000000004">
      <c r="C1620" s="74"/>
      <c r="D1620" s="74"/>
    </row>
    <row r="1621" spans="3:4" x14ac:dyDescent="0.55000000000000004">
      <c r="C1621" s="74"/>
      <c r="D1621" s="74"/>
    </row>
    <row r="1622" spans="3:4" x14ac:dyDescent="0.55000000000000004">
      <c r="C1622" s="74"/>
      <c r="D1622" s="74"/>
    </row>
    <row r="1623" spans="3:4" x14ac:dyDescent="0.55000000000000004">
      <c r="C1623" s="74"/>
      <c r="D1623" s="74"/>
    </row>
    <row r="1624" spans="3:4" x14ac:dyDescent="0.55000000000000004">
      <c r="C1624" s="74"/>
      <c r="D1624" s="74"/>
    </row>
    <row r="1625" spans="3:4" x14ac:dyDescent="0.55000000000000004">
      <c r="C1625" s="74"/>
      <c r="D1625" s="74"/>
    </row>
    <row r="1626" spans="3:4" x14ac:dyDescent="0.55000000000000004">
      <c r="C1626" s="74"/>
      <c r="D1626" s="74"/>
    </row>
    <row r="1627" spans="3:4" x14ac:dyDescent="0.55000000000000004">
      <c r="C1627" s="74"/>
      <c r="D1627" s="74"/>
    </row>
    <row r="1628" spans="3:4" x14ac:dyDescent="0.55000000000000004">
      <c r="C1628" s="74"/>
      <c r="D1628" s="74"/>
    </row>
    <row r="1629" spans="3:4" x14ac:dyDescent="0.55000000000000004">
      <c r="C1629" s="74"/>
      <c r="D1629" s="74"/>
    </row>
    <row r="1630" spans="3:4" x14ac:dyDescent="0.55000000000000004">
      <c r="C1630" s="74"/>
      <c r="D1630" s="74"/>
    </row>
    <row r="1631" spans="3:4" x14ac:dyDescent="0.55000000000000004">
      <c r="C1631" s="74"/>
      <c r="D1631" s="74"/>
    </row>
    <row r="1632" spans="3:4" x14ac:dyDescent="0.55000000000000004">
      <c r="C1632" s="74"/>
      <c r="D1632" s="74"/>
    </row>
    <row r="1633" spans="3:4" x14ac:dyDescent="0.55000000000000004">
      <c r="C1633" s="74"/>
      <c r="D1633" s="74"/>
    </row>
    <row r="1634" spans="3:4" x14ac:dyDescent="0.55000000000000004">
      <c r="C1634" s="74"/>
      <c r="D1634" s="74"/>
    </row>
    <row r="1635" spans="3:4" x14ac:dyDescent="0.55000000000000004">
      <c r="C1635" s="74"/>
      <c r="D1635" s="74"/>
    </row>
  </sheetData>
  <sheetProtection algorithmName="SHA-512" hashValue="8cafbsJsISuxbHFgYTSJKO7OrqNPVFKaP28/qEVkh/clC1icw7sEMTKbNn5dvLQVuNCFyIcfnjmPx/RmsVJQGA==" saltValue="ergobsz0UD0Fu8mXXdF/ug==" spinCount="100000" sheet="1" objects="1" scenarios="1" selectLockedCells="1" selectUnlockedCells="1"/>
  <autoFilter ref="R1:U1" xr:uid="{1FAE9BF6-ACBD-4B74-BEE4-3547C3AE5DD6}">
    <sortState xmlns:xlrd2="http://schemas.microsoft.com/office/spreadsheetml/2017/richdata2" ref="R2:U1442">
      <sortCondition ref="U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6A38-B8ED-43DA-8618-723C9F067E75}">
  <dimension ref="A1:AD103"/>
  <sheetViews>
    <sheetView topLeftCell="E1" workbookViewId="0">
      <selection activeCell="Y3" sqref="Y3"/>
    </sheetView>
  </sheetViews>
  <sheetFormatPr defaultColWidth="9.15625" defaultRowHeight="14.4" x14ac:dyDescent="0.55000000000000004"/>
  <cols>
    <col min="1" max="1" width="12.68359375" style="10" customWidth="1"/>
    <col min="2" max="2" width="11" style="10" customWidth="1"/>
    <col min="3" max="3" width="11.83984375" style="10" customWidth="1"/>
    <col min="4" max="5" width="12" style="10" customWidth="1"/>
    <col min="6" max="6" width="10.26171875" style="10" customWidth="1"/>
    <col min="7" max="7" width="12.41796875" style="12" bestFit="1" customWidth="1"/>
    <col min="8" max="8" width="14.26171875" style="12" bestFit="1" customWidth="1"/>
    <col min="9" max="9" width="10" style="10" customWidth="1"/>
    <col min="10" max="12" width="9.15625" style="13"/>
    <col min="13" max="13" width="10.578125" style="13" bestFit="1" customWidth="1"/>
    <col min="14" max="14" width="9.578125" style="10" bestFit="1" customWidth="1"/>
    <col min="15" max="18" width="9.15625" style="10"/>
    <col min="19" max="19" width="14.26171875" style="12" bestFit="1" customWidth="1"/>
    <col min="20" max="20" width="14.26171875" style="12" customWidth="1"/>
    <col min="21" max="24" width="11.15625" style="14" bestFit="1" customWidth="1"/>
    <col min="25" max="16384" width="9.15625" style="10"/>
  </cols>
  <sheetData>
    <row r="1" spans="1:30" s="5" customFormat="1" ht="86.4" x14ac:dyDescent="0.55000000000000004">
      <c r="A1" s="5" t="s">
        <v>13</v>
      </c>
      <c r="B1" s="5" t="s">
        <v>54</v>
      </c>
      <c r="C1" s="5" t="s">
        <v>146</v>
      </c>
      <c r="D1" s="5" t="s">
        <v>147</v>
      </c>
      <c r="E1" s="5" t="s">
        <v>57</v>
      </c>
      <c r="F1" s="6" t="s">
        <v>148</v>
      </c>
      <c r="G1" s="7" t="s">
        <v>149</v>
      </c>
      <c r="H1" s="7" t="s">
        <v>60</v>
      </c>
      <c r="I1" s="5" t="s">
        <v>150</v>
      </c>
      <c r="J1" s="8" t="s">
        <v>151</v>
      </c>
      <c r="K1" s="8" t="s">
        <v>152</v>
      </c>
      <c r="L1" s="8" t="s">
        <v>153</v>
      </c>
      <c r="M1" s="8" t="s">
        <v>154</v>
      </c>
      <c r="N1" s="5" t="s">
        <v>66</v>
      </c>
      <c r="O1" s="5" t="s">
        <v>67</v>
      </c>
      <c r="P1" s="5" t="s">
        <v>68</v>
      </c>
      <c r="Q1" s="5" t="s">
        <v>69</v>
      </c>
      <c r="R1" s="5" t="s">
        <v>70</v>
      </c>
      <c r="S1" s="7" t="s">
        <v>71</v>
      </c>
      <c r="T1" s="7" t="s">
        <v>72</v>
      </c>
      <c r="U1" s="9" t="s">
        <v>73</v>
      </c>
      <c r="V1" s="9" t="s">
        <v>74</v>
      </c>
      <c r="W1" s="9" t="s">
        <v>75</v>
      </c>
      <c r="X1" s="9" t="s">
        <v>76</v>
      </c>
      <c r="Y1" s="5" t="s">
        <v>77</v>
      </c>
      <c r="AB1" s="5" t="s">
        <v>78</v>
      </c>
      <c r="AC1" s="6">
        <f>+Summary!$U$2</f>
        <v>25</v>
      </c>
    </row>
    <row r="2" spans="1:30" x14ac:dyDescent="0.55000000000000004">
      <c r="A2" s="10">
        <v>122</v>
      </c>
      <c r="B2" s="10" t="s">
        <v>54</v>
      </c>
      <c r="C2" s="10">
        <f>VLOOKUP($A2,'SAS Data'!$1:$1048576,MATCH(C$1,'SAS Data'!$3:$3,0),FALSE)</f>
        <v>6</v>
      </c>
      <c r="D2" s="10">
        <f>VLOOKUP($A2,'SAS Data'!$1:$1048576,MATCH(D$1,'SAS Data'!$3:$3,0),FALSE)</f>
        <v>6</v>
      </c>
      <c r="E2" s="10">
        <f t="shared" ref="E2" si="0">SUM(C2:D2)</f>
        <v>12</v>
      </c>
      <c r="F2" s="11">
        <f>VLOOKUP($A2,'SAS Data'!$1:$1048576,MATCH(F$1,'SAS Data'!$3:$3,0),FALSE)</f>
        <v>28.019084813204625</v>
      </c>
      <c r="G2" s="12">
        <f>VLOOKUP($A2,'SAS Data'!$1:$1048576,MATCH(G$1,'SAS Data'!$3:$3,0),FALSE)</f>
        <v>13571</v>
      </c>
      <c r="H2" s="12">
        <f>+Activities_Sample[[#This Row],[Act Cph]]*Activities_Sample[[#This Row],[Act Hrsn]]</f>
        <v>380246.99999999994</v>
      </c>
      <c r="I2" s="10">
        <f>COUNTIF('Act detail'!A:C,A2)</f>
        <v>8</v>
      </c>
      <c r="J2" s="13">
        <v>16.25</v>
      </c>
      <c r="K2" s="13">
        <v>25.75</v>
      </c>
      <c r="L2" s="13">
        <v>18.25</v>
      </c>
      <c r="M2" s="13">
        <v>20.14</v>
      </c>
      <c r="N2" s="37">
        <f>COUNTIFS('Act detail'!$A:$A,$A2,'Act detail'!$C:$C,"&lt;"&amp;L2)</f>
        <v>2</v>
      </c>
      <c r="O2" s="37">
        <f>COUNTIFS('Act detail'!$A:$A,$A2,'Act detail'!$C:$C,"&lt;"&amp;M2)</f>
        <v>5</v>
      </c>
      <c r="P2" s="37">
        <f>COUNTIFS('Act detail'!A:A,$A2,'Act detail'!$C:$C,"&lt;"&amp;$AC$1)</f>
        <v>7</v>
      </c>
      <c r="Q2" s="37">
        <f>COUNTIFS('Act detail'!A:A,$A2,'Act detail'!$C:$C,"&lt;"&amp;$AC$2)</f>
        <v>1</v>
      </c>
      <c r="R2" s="37">
        <f>COUNTIFS('Act detail'!A:A,$A2,'Act detail'!$C:$C,"&lt;"&amp;$AC$3)</f>
        <v>1</v>
      </c>
      <c r="S2" s="12">
        <f>+Activities_Sample[[#This Row],[Act Aide median]]*Activities_Sample[[#This Row],[Act Hrsn]]</f>
        <v>247670.75</v>
      </c>
      <c r="T2" s="12">
        <f>+Activities_Sample[[#This Row],[Act Aide average]]*Activities_Sample[[#This Row],[Act Hrsn]]</f>
        <v>273319.94</v>
      </c>
      <c r="U2" s="14">
        <f>Activities_Sample[[#This Row],[Est median wage cost ]]/Activities_Sample[[#This Row],[Cost]]</f>
        <v>0.65134175943531447</v>
      </c>
      <c r="V2" s="14">
        <f>Activities_Sample[[#This Row],[Est average wage cost]]/Activities_Sample[[#This Row],[Cost]]</f>
        <v>0.71879578274121836</v>
      </c>
      <c r="W2" s="14">
        <f>+Activities_Sample[[#This Row],[Act Aide min]]/Activities_Sample[[#This Row],[Act Aide median]]</f>
        <v>0.8904109589041096</v>
      </c>
      <c r="X2" s="14">
        <f>+Activities_Sample[[#This Row],[Act Aide max]]/Activities_Sample[[#This Row],[Act Aide median]]</f>
        <v>1.4109589041095891</v>
      </c>
      <c r="Y2" s="10">
        <f>VLOOKUP(A2,Summary!$1:$1048576,2,FALSE)</f>
        <v>3</v>
      </c>
      <c r="AB2" s="15" t="s">
        <v>79</v>
      </c>
      <c r="AC2" s="11">
        <f>+Activities_Sample[[#Totals],[Est median wage cost ]]/Activities_Sample[[#Totals],[Act Hrsn]]</f>
        <v>17.215951002321784</v>
      </c>
      <c r="AD2" s="10" t="s">
        <v>80</v>
      </c>
    </row>
    <row r="3" spans="1:30" x14ac:dyDescent="0.55000000000000004">
      <c r="A3" s="10">
        <v>142</v>
      </c>
      <c r="B3" s="10" t="s">
        <v>54</v>
      </c>
      <c r="C3" s="10">
        <f>VLOOKUP($A3,'SAS Data'!$1:$1048576,MATCH(C$1,'SAS Data'!$3:$3,0),FALSE)</f>
        <v>2</v>
      </c>
      <c r="D3" s="10">
        <f>VLOOKUP($A3,'SAS Data'!$1:$1048576,MATCH(D$1,'SAS Data'!$3:$3,0),FALSE)</f>
        <v>0</v>
      </c>
      <c r="E3" s="10">
        <f t="shared" ref="E3:E66" si="1">SUM(C3:D3)</f>
        <v>2</v>
      </c>
      <c r="F3" s="11">
        <f>VLOOKUP($A3,'SAS Data'!$1:$1048576,MATCH(F$1,'SAS Data'!$3:$3,0),FALSE)</f>
        <v>24.293373364786618</v>
      </c>
      <c r="G3" s="12">
        <f>VLOOKUP($A3,'SAS Data'!$1:$1048576,MATCH(G$1,'SAS Data'!$3:$3,0),FALSE)</f>
        <v>4663</v>
      </c>
      <c r="H3" s="12">
        <f>+Activities_Sample[[#This Row],[Act Cph]]*Activities_Sample[[#This Row],[Act Hrsn]]</f>
        <v>113280</v>
      </c>
      <c r="I3" s="10">
        <f>COUNTIF('Act detail'!A:C,A3)</f>
        <v>1</v>
      </c>
      <c r="J3" s="13">
        <v>16.95</v>
      </c>
      <c r="K3" s="13">
        <v>16.95</v>
      </c>
      <c r="L3" s="13">
        <v>16.95</v>
      </c>
      <c r="M3" s="13">
        <v>16.95</v>
      </c>
      <c r="N3" s="37">
        <f>COUNTIFS('Act detail'!$A:$A,$A3,'Act detail'!$C:$C,"&lt;"&amp;L3)</f>
        <v>0</v>
      </c>
      <c r="O3" s="37">
        <f>COUNTIFS('Act detail'!$A:$A,$A3,'Act detail'!$C:$C,"&lt;"&amp;M3)</f>
        <v>0</v>
      </c>
      <c r="P3" s="37">
        <f>COUNTIFS('Act detail'!A:A,$A3,'Act detail'!$C:$C,"&lt;"&amp;$AC$1)</f>
        <v>1</v>
      </c>
      <c r="Q3" s="37">
        <f>COUNTIFS('Act detail'!A:A,$A3,'Act detail'!$C:$C,"&lt;"&amp;$AC$2)</f>
        <v>1</v>
      </c>
      <c r="R3" s="37">
        <f>COUNTIFS('Act detail'!A:A,$A3,'Act detail'!$C:$C,"&lt;"&amp;$AC$3)</f>
        <v>1</v>
      </c>
      <c r="S3" s="12">
        <f>+Activities_Sample[[#This Row],[Act Aide median]]*Activities_Sample[[#This Row],[Act Hrsn]]</f>
        <v>79037.849999999991</v>
      </c>
      <c r="T3" s="12">
        <f>+Activities_Sample[[#This Row],[Act Aide average]]*Activities_Sample[[#This Row],[Act Hrsn]]</f>
        <v>79037.849999999991</v>
      </c>
      <c r="U3" s="14">
        <f>Activities_Sample[[#This Row],[Est median wage cost ]]/Activities_Sample[[#This Row],[Cost]]</f>
        <v>0.69772113347457621</v>
      </c>
      <c r="V3" s="14">
        <f>Activities_Sample[[#This Row],[Est average wage cost]]/Activities_Sample[[#This Row],[Cost]]</f>
        <v>0.69772113347457621</v>
      </c>
      <c r="W3" s="14">
        <f>+Activities_Sample[[#This Row],[Act Aide min]]/Activities_Sample[[#This Row],[Act Aide median]]</f>
        <v>1</v>
      </c>
      <c r="X3" s="14">
        <f>+Activities_Sample[[#This Row],[Act Aide max]]/Activities_Sample[[#This Row],[Act Aide median]]</f>
        <v>1</v>
      </c>
      <c r="Y3" s="10">
        <f>VLOOKUP(A3,Summary!$1:$1048576,2,FALSE)</f>
        <v>2</v>
      </c>
      <c r="AB3" s="15" t="s">
        <v>81</v>
      </c>
      <c r="AC3" s="11">
        <f>+Activities_Sample[[#Totals],[Est average wage cost]]/Activities_Sample[[#Totals],[Act Hrsn]]</f>
        <v>17.405415270972199</v>
      </c>
      <c r="AD3" s="10" t="s">
        <v>82</v>
      </c>
    </row>
    <row r="4" spans="1:30" x14ac:dyDescent="0.55000000000000004">
      <c r="A4" s="10">
        <v>145</v>
      </c>
      <c r="B4" s="10" t="s">
        <v>54</v>
      </c>
      <c r="C4" s="10">
        <f>VLOOKUP($A4,'SAS Data'!$1:$1048576,MATCH(C$1,'SAS Data'!$3:$3,0),FALSE)</f>
        <v>2</v>
      </c>
      <c r="D4" s="10">
        <f>VLOOKUP($A4,'SAS Data'!$1:$1048576,MATCH(D$1,'SAS Data'!$3:$3,0),FALSE)</f>
        <v>1</v>
      </c>
      <c r="E4" s="10">
        <f t="shared" si="1"/>
        <v>3</v>
      </c>
      <c r="F4" s="11">
        <f>VLOOKUP($A4,'SAS Data'!$1:$1048576,MATCH(F$1,'SAS Data'!$3:$3,0),FALSE)</f>
        <v>21.70261941448382</v>
      </c>
      <c r="G4" s="12">
        <f>VLOOKUP($A4,'SAS Data'!$1:$1048576,MATCH(G$1,'SAS Data'!$3:$3,0),FALSE)</f>
        <v>6490</v>
      </c>
      <c r="H4" s="12">
        <f>+Activities_Sample[[#This Row],[Act Cph]]*Activities_Sample[[#This Row],[Act Hrsn]]</f>
        <v>140850</v>
      </c>
      <c r="I4" s="10">
        <f>COUNTIF('Act detail'!A:C,A4)</f>
        <v>2</v>
      </c>
      <c r="J4" s="13">
        <v>24</v>
      </c>
      <c r="K4" s="13">
        <v>25</v>
      </c>
      <c r="L4" s="13">
        <v>24.5</v>
      </c>
      <c r="M4" s="13">
        <v>24.5</v>
      </c>
      <c r="N4" s="37">
        <f>COUNTIFS('Act detail'!$A:$A,$A4,'Act detail'!$C:$C,"&lt;"&amp;L4)</f>
        <v>1</v>
      </c>
      <c r="O4" s="37">
        <f>COUNTIFS('Act detail'!$A:$A,$A4,'Act detail'!$C:$C,"&lt;"&amp;M4)</f>
        <v>1</v>
      </c>
      <c r="P4" s="37">
        <f>COUNTIFS('Act detail'!A:A,$A4,'Act detail'!$C:$C,"&lt;"&amp;$AC$1)</f>
        <v>1</v>
      </c>
      <c r="Q4" s="37">
        <f>COUNTIFS('Act detail'!A:A,$A4,'Act detail'!$C:$C,"&lt;"&amp;$AC$2)</f>
        <v>0</v>
      </c>
      <c r="R4" s="37">
        <f>COUNTIFS('Act detail'!A:A,$A4,'Act detail'!$C:$C,"&lt;"&amp;$AC$3)</f>
        <v>0</v>
      </c>
      <c r="S4" s="12">
        <f>+Activities_Sample[[#This Row],[Act Aide median]]*Activities_Sample[[#This Row],[Act Hrsn]]</f>
        <v>159005</v>
      </c>
      <c r="T4" s="12">
        <f>+Activities_Sample[[#This Row],[Act Aide average]]*Activities_Sample[[#This Row],[Act Hrsn]]</f>
        <v>159005</v>
      </c>
      <c r="U4" s="14">
        <f>Activities_Sample[[#This Row],[Est median wage cost ]]/Activities_Sample[[#This Row],[Cost]]</f>
        <v>1.1288959886403975</v>
      </c>
      <c r="V4" s="14">
        <f>Activities_Sample[[#This Row],[Est average wage cost]]/Activities_Sample[[#This Row],[Cost]]</f>
        <v>1.1288959886403975</v>
      </c>
      <c r="W4" s="14">
        <f>+Activities_Sample[[#This Row],[Act Aide min]]/Activities_Sample[[#This Row],[Act Aide median]]</f>
        <v>0.97959183673469385</v>
      </c>
      <c r="X4" s="14">
        <f>+Activities_Sample[[#This Row],[Act Aide max]]/Activities_Sample[[#This Row],[Act Aide median]]</f>
        <v>1.0204081632653061</v>
      </c>
      <c r="Y4" s="10">
        <f>VLOOKUP(A4,Summary!$1:$1048576,2,FALSE)</f>
        <v>3</v>
      </c>
      <c r="AB4" s="15"/>
    </row>
    <row r="5" spans="1:30" x14ac:dyDescent="0.55000000000000004">
      <c r="A5" s="10">
        <v>156</v>
      </c>
      <c r="B5" s="10" t="s">
        <v>54</v>
      </c>
      <c r="C5" s="10">
        <f>VLOOKUP($A5,'SAS Data'!$1:$1048576,MATCH(C$1,'SAS Data'!$3:$3,0),FALSE)</f>
        <v>1</v>
      </c>
      <c r="D5" s="10">
        <f>VLOOKUP($A5,'SAS Data'!$1:$1048576,MATCH(D$1,'SAS Data'!$3:$3,0),FALSE)</f>
        <v>1</v>
      </c>
      <c r="E5" s="10">
        <f t="shared" si="1"/>
        <v>2</v>
      </c>
      <c r="F5" s="11">
        <f>VLOOKUP($A5,'SAS Data'!$1:$1048576,MATCH(F$1,'SAS Data'!$3:$3,0),FALSE)</f>
        <v>21.131134020618557</v>
      </c>
      <c r="G5" s="12">
        <f>VLOOKUP($A5,'SAS Data'!$1:$1048576,MATCH(G$1,'SAS Data'!$3:$3,0),FALSE)</f>
        <v>2425</v>
      </c>
      <c r="H5" s="12">
        <f>+Activities_Sample[[#This Row],[Act Cph]]*Activities_Sample[[#This Row],[Act Hrsn]]</f>
        <v>51243</v>
      </c>
      <c r="I5" s="10">
        <f>COUNTIF('Act detail'!A:C,A5)</f>
        <v>4</v>
      </c>
      <c r="J5" s="13">
        <v>15.85</v>
      </c>
      <c r="K5" s="13">
        <v>19.05</v>
      </c>
      <c r="L5" s="13">
        <v>17.72</v>
      </c>
      <c r="M5" s="13">
        <v>17.585000000000001</v>
      </c>
      <c r="N5" s="37">
        <f>COUNTIFS('Act detail'!$A:$A,$A5,'Act detail'!$C:$C,"&lt;"&amp;L5)</f>
        <v>2</v>
      </c>
      <c r="O5" s="37">
        <f>COUNTIFS('Act detail'!$A:$A,$A5,'Act detail'!$C:$C,"&lt;"&amp;M5)</f>
        <v>2</v>
      </c>
      <c r="P5" s="37">
        <f>COUNTIFS('Act detail'!A:A,$A5,'Act detail'!$C:$C,"&lt;"&amp;$AC$1)</f>
        <v>4</v>
      </c>
      <c r="Q5" s="37">
        <f>COUNTIFS('Act detail'!A:A,$A5,'Act detail'!$C:$C,"&lt;"&amp;$AC$2)</f>
        <v>1</v>
      </c>
      <c r="R5" s="37">
        <f>COUNTIFS('Act detail'!A:A,$A5,'Act detail'!$C:$C,"&lt;"&amp;$AC$3)</f>
        <v>1</v>
      </c>
      <c r="S5" s="12">
        <f>+Activities_Sample[[#This Row],[Act Aide median]]*Activities_Sample[[#This Row],[Act Hrsn]]</f>
        <v>42971</v>
      </c>
      <c r="T5" s="12">
        <f>+Activities_Sample[[#This Row],[Act Aide average]]*Activities_Sample[[#This Row],[Act Hrsn]]</f>
        <v>42643.625</v>
      </c>
      <c r="U5" s="14">
        <f>Activities_Sample[[#This Row],[Est median wage cost ]]/Activities_Sample[[#This Row],[Cost]]</f>
        <v>0.83857307339539056</v>
      </c>
      <c r="V5" s="14">
        <f>Activities_Sample[[#This Row],[Est average wage cost]]/Activities_Sample[[#This Row],[Cost]]</f>
        <v>0.83218439591749116</v>
      </c>
      <c r="W5" s="14">
        <f>+Activities_Sample[[#This Row],[Act Aide min]]/Activities_Sample[[#This Row],[Act Aide median]]</f>
        <v>0.89446952595936802</v>
      </c>
      <c r="X5" s="14">
        <f>+Activities_Sample[[#This Row],[Act Aide max]]/Activities_Sample[[#This Row],[Act Aide median]]</f>
        <v>1.0750564334085779</v>
      </c>
      <c r="Y5" s="10">
        <f>VLOOKUP(A5,Summary!$1:$1048576,2,FALSE)</f>
        <v>2</v>
      </c>
    </row>
    <row r="6" spans="1:30" x14ac:dyDescent="0.55000000000000004">
      <c r="A6" s="10">
        <v>164</v>
      </c>
      <c r="B6" s="10" t="s">
        <v>54</v>
      </c>
      <c r="C6" s="10">
        <f>VLOOKUP($A6,'SAS Data'!$1:$1048576,MATCH(C$1,'SAS Data'!$3:$3,0),FALSE)</f>
        <v>1</v>
      </c>
      <c r="D6" s="10">
        <f>VLOOKUP($A6,'SAS Data'!$1:$1048576,MATCH(D$1,'SAS Data'!$3:$3,0),FALSE)</f>
        <v>3</v>
      </c>
      <c r="E6" s="10">
        <f t="shared" si="1"/>
        <v>4</v>
      </c>
      <c r="F6" s="11">
        <f>VLOOKUP($A6,'SAS Data'!$1:$1048576,MATCH(F$1,'SAS Data'!$3:$3,0),FALSE)</f>
        <v>24.660863958736297</v>
      </c>
      <c r="G6" s="12">
        <f>VLOOKUP($A6,'SAS Data'!$1:$1048576,MATCH(G$1,'SAS Data'!$3:$3,0),FALSE)</f>
        <v>4653</v>
      </c>
      <c r="H6" s="12">
        <f>+Activities_Sample[[#This Row],[Act Cph]]*Activities_Sample[[#This Row],[Act Hrsn]]</f>
        <v>114746.99999999999</v>
      </c>
      <c r="I6" s="10">
        <f>COUNTIF('Act detail'!A:C,A6)</f>
        <v>2</v>
      </c>
      <c r="J6" s="13">
        <v>16.89</v>
      </c>
      <c r="K6" s="13">
        <v>19.02</v>
      </c>
      <c r="L6" s="13">
        <v>17.954999999999998</v>
      </c>
      <c r="M6" s="13">
        <v>17.954999999999998</v>
      </c>
      <c r="N6" s="37">
        <f>COUNTIFS('Act detail'!$A:$A,$A6,'Act detail'!$C:$C,"&lt;"&amp;L6)</f>
        <v>1</v>
      </c>
      <c r="O6" s="37">
        <f>COUNTIFS('Act detail'!$A:$A,$A6,'Act detail'!$C:$C,"&lt;"&amp;M6)</f>
        <v>1</v>
      </c>
      <c r="P6" s="37">
        <f>COUNTIFS('Act detail'!A:A,$A6,'Act detail'!$C:$C,"&lt;"&amp;$AC$1)</f>
        <v>2</v>
      </c>
      <c r="Q6" s="37">
        <f>COUNTIFS('Act detail'!A:A,$A6,'Act detail'!$C:$C,"&lt;"&amp;$AC$2)</f>
        <v>1</v>
      </c>
      <c r="R6" s="37">
        <f>COUNTIFS('Act detail'!A:A,$A6,'Act detail'!$C:$C,"&lt;"&amp;$AC$3)</f>
        <v>1</v>
      </c>
      <c r="S6" s="12">
        <f>+Activities_Sample[[#This Row],[Act Aide median]]*Activities_Sample[[#This Row],[Act Hrsn]]</f>
        <v>83544.614999999991</v>
      </c>
      <c r="T6" s="12">
        <f>+Activities_Sample[[#This Row],[Act Aide average]]*Activities_Sample[[#This Row],[Act Hrsn]]</f>
        <v>83544.614999999991</v>
      </c>
      <c r="U6" s="14">
        <f>Activities_Sample[[#This Row],[Est median wage cost ]]/Activities_Sample[[#This Row],[Cost]]</f>
        <v>0.72807668174331353</v>
      </c>
      <c r="V6" s="14">
        <f>Activities_Sample[[#This Row],[Est average wage cost]]/Activities_Sample[[#This Row],[Cost]]</f>
        <v>0.72807668174331353</v>
      </c>
      <c r="W6" s="14">
        <f>+Activities_Sample[[#This Row],[Act Aide min]]/Activities_Sample[[#This Row],[Act Aide median]]</f>
        <v>0.94068504594820401</v>
      </c>
      <c r="X6" s="14">
        <f>+Activities_Sample[[#This Row],[Act Aide max]]/Activities_Sample[[#This Row],[Act Aide median]]</f>
        <v>1.0593149540517963</v>
      </c>
      <c r="Y6" s="10">
        <f>VLOOKUP(A6,Summary!$1:$1048576,2,FALSE)</f>
        <v>1</v>
      </c>
    </row>
    <row r="7" spans="1:30" x14ac:dyDescent="0.55000000000000004">
      <c r="A7" s="10">
        <v>173</v>
      </c>
      <c r="B7" s="10" t="s">
        <v>54</v>
      </c>
      <c r="C7" s="10">
        <f>VLOOKUP($A7,'SAS Data'!$1:$1048576,MATCH(C$1,'SAS Data'!$3:$3,0),FALSE)</f>
        <v>4</v>
      </c>
      <c r="D7" s="10">
        <f>VLOOKUP($A7,'SAS Data'!$1:$1048576,MATCH(D$1,'SAS Data'!$3:$3,0),FALSE)</f>
        <v>1</v>
      </c>
      <c r="E7" s="10">
        <f t="shared" si="1"/>
        <v>5</v>
      </c>
      <c r="F7" s="11">
        <f>VLOOKUP($A7,'SAS Data'!$1:$1048576,MATCH(F$1,'SAS Data'!$3:$3,0),FALSE)</f>
        <v>20.369418427357875</v>
      </c>
      <c r="G7" s="12">
        <f>VLOOKUP($A7,'SAS Data'!$1:$1048576,MATCH(G$1,'SAS Data'!$3:$3,0),FALSE)</f>
        <v>9182</v>
      </c>
      <c r="H7" s="12">
        <f>+Activities_Sample[[#This Row],[Act Cph]]*Activities_Sample[[#This Row],[Act Hrsn]]</f>
        <v>187032</v>
      </c>
      <c r="I7" s="10">
        <f>COUNTIF('Act detail'!A:C,A7)</f>
        <v>4</v>
      </c>
      <c r="J7" s="13">
        <v>17.7</v>
      </c>
      <c r="K7" s="13">
        <v>22.2</v>
      </c>
      <c r="L7" s="13">
        <v>20.65</v>
      </c>
      <c r="M7" s="13">
        <v>20.299999999999997</v>
      </c>
      <c r="N7" s="37">
        <f>COUNTIFS('Act detail'!$A:$A,$A7,'Act detail'!$C:$C,"&lt;"&amp;L7)</f>
        <v>2</v>
      </c>
      <c r="O7" s="37">
        <f>COUNTIFS('Act detail'!$A:$A,$A7,'Act detail'!$C:$C,"&lt;"&amp;M7)</f>
        <v>2</v>
      </c>
      <c r="P7" s="37">
        <f>COUNTIFS('Act detail'!A:A,$A7,'Act detail'!$C:$C,"&lt;"&amp;$AC$1)</f>
        <v>4</v>
      </c>
      <c r="Q7" s="37">
        <f>COUNTIFS('Act detail'!A:A,$A7,'Act detail'!$C:$C,"&lt;"&amp;$AC$2)</f>
        <v>0</v>
      </c>
      <c r="R7" s="37">
        <f>COUNTIFS('Act detail'!A:A,$A7,'Act detail'!$C:$C,"&lt;"&amp;$AC$3)</f>
        <v>0</v>
      </c>
      <c r="S7" s="12">
        <f>+Activities_Sample[[#This Row],[Act Aide median]]*Activities_Sample[[#This Row],[Act Hrsn]]</f>
        <v>189608.3</v>
      </c>
      <c r="T7" s="12">
        <f>+Activities_Sample[[#This Row],[Act Aide average]]*Activities_Sample[[#This Row],[Act Hrsn]]</f>
        <v>186394.59999999998</v>
      </c>
      <c r="U7" s="14">
        <f>Activities_Sample[[#This Row],[Est median wage cost ]]/Activities_Sample[[#This Row],[Cost]]</f>
        <v>1.0137746481885452</v>
      </c>
      <c r="V7" s="14">
        <f>Activities_Sample[[#This Row],[Est average wage cost]]/Activities_Sample[[#This Row],[Cost]]</f>
        <v>0.99659202703280714</v>
      </c>
      <c r="W7" s="14">
        <f>+Activities_Sample[[#This Row],[Act Aide min]]/Activities_Sample[[#This Row],[Act Aide median]]</f>
        <v>0.85714285714285721</v>
      </c>
      <c r="X7" s="14">
        <f>+Activities_Sample[[#This Row],[Act Aide max]]/Activities_Sample[[#This Row],[Act Aide median]]</f>
        <v>1.0750605326876514</v>
      </c>
      <c r="Y7" s="10">
        <f>VLOOKUP(A7,Summary!$1:$1048576,2,FALSE)</f>
        <v>1</v>
      </c>
      <c r="AB7" s="15" t="s">
        <v>83</v>
      </c>
      <c r="AC7" s="14">
        <f>+Activities_Sample[[#Totals],[Below median]]/Activities_Sample[[#Totals],[Act Aide count Per Data Sample]]</f>
        <v>0.3855140186915888</v>
      </c>
    </row>
    <row r="8" spans="1:30" x14ac:dyDescent="0.55000000000000004">
      <c r="A8" s="10">
        <v>174</v>
      </c>
      <c r="B8" s="10" t="s">
        <v>54</v>
      </c>
      <c r="C8" s="10">
        <f>VLOOKUP($A8,'SAS Data'!$1:$1048576,MATCH(C$1,'SAS Data'!$3:$3,0),FALSE)</f>
        <v>3</v>
      </c>
      <c r="D8" s="10">
        <f>VLOOKUP($A8,'SAS Data'!$1:$1048576,MATCH(D$1,'SAS Data'!$3:$3,0),FALSE)</f>
        <v>2</v>
      </c>
      <c r="E8" s="10">
        <f t="shared" si="1"/>
        <v>5</v>
      </c>
      <c r="F8" s="11">
        <f>VLOOKUP($A8,'SAS Data'!$1:$1048576,MATCH(F$1,'SAS Data'!$3:$3,0),FALSE)</f>
        <v>21.567457799213098</v>
      </c>
      <c r="G8" s="12">
        <f>VLOOKUP($A8,'SAS Data'!$1:$1048576,MATCH(G$1,'SAS Data'!$3:$3,0),FALSE)</f>
        <v>7879</v>
      </c>
      <c r="H8" s="12">
        <f>+Activities_Sample[[#This Row],[Act Cph]]*Activities_Sample[[#This Row],[Act Hrsn]]</f>
        <v>169930</v>
      </c>
      <c r="I8" s="10">
        <f>COUNTIF('Act detail'!A:C,A8)</f>
        <v>4</v>
      </c>
      <c r="J8" s="13">
        <v>16.12</v>
      </c>
      <c r="K8" s="13">
        <v>21.153600000000001</v>
      </c>
      <c r="L8" s="13">
        <v>18.8812</v>
      </c>
      <c r="M8" s="13">
        <v>18.759</v>
      </c>
      <c r="N8" s="37">
        <f>COUNTIFS('Act detail'!$A:$A,$A8,'Act detail'!$C:$C,"&lt;"&amp;L8)</f>
        <v>2</v>
      </c>
      <c r="O8" s="37">
        <f>COUNTIFS('Act detail'!$A:$A,$A8,'Act detail'!$C:$C,"&lt;"&amp;M8)</f>
        <v>2</v>
      </c>
      <c r="P8" s="37">
        <f>COUNTIFS('Act detail'!A:A,$A8,'Act detail'!$C:$C,"&lt;"&amp;$AC$1)</f>
        <v>4</v>
      </c>
      <c r="Q8" s="37">
        <f>COUNTIFS('Act detail'!A:A,$A8,'Act detail'!$C:$C,"&lt;"&amp;$AC$2)</f>
        <v>1</v>
      </c>
      <c r="R8" s="37">
        <f>COUNTIFS('Act detail'!A:A,$A8,'Act detail'!$C:$C,"&lt;"&amp;$AC$3)</f>
        <v>1</v>
      </c>
      <c r="S8" s="12">
        <f>+Activities_Sample[[#This Row],[Act Aide median]]*Activities_Sample[[#This Row],[Act Hrsn]]</f>
        <v>148764.9748</v>
      </c>
      <c r="T8" s="12">
        <f>+Activities_Sample[[#This Row],[Act Aide average]]*Activities_Sample[[#This Row],[Act Hrsn]]</f>
        <v>147802.16099999999</v>
      </c>
      <c r="U8" s="14">
        <f>Activities_Sample[[#This Row],[Est median wage cost ]]/Activities_Sample[[#This Row],[Cost]]</f>
        <v>0.87544856588006825</v>
      </c>
      <c r="V8" s="14">
        <f>Activities_Sample[[#This Row],[Est average wage cost]]/Activities_Sample[[#This Row],[Cost]]</f>
        <v>0.86978262225622316</v>
      </c>
      <c r="W8" s="14">
        <f>+Activities_Sample[[#This Row],[Act Aide min]]/Activities_Sample[[#This Row],[Act Aide median]]</f>
        <v>0.8537592949600662</v>
      </c>
      <c r="X8" s="14">
        <f>+Activities_Sample[[#This Row],[Act Aide max]]/Activities_Sample[[#This Row],[Act Aide median]]</f>
        <v>1.1203525199669513</v>
      </c>
      <c r="Y8" s="10">
        <f>VLOOKUP(A8,Summary!$1:$1048576,2,FALSE)</f>
        <v>1</v>
      </c>
      <c r="AB8" s="15" t="s">
        <v>84</v>
      </c>
      <c r="AC8" s="14">
        <f>+Activities_Sample[[#Totals],[Below Average]]/Activities_Sample[[#Totals],[Act Aide count Per Data Sample]]</f>
        <v>0.52570093457943923</v>
      </c>
    </row>
    <row r="9" spans="1:30" x14ac:dyDescent="0.55000000000000004">
      <c r="A9" s="10">
        <v>178</v>
      </c>
      <c r="B9" s="10" t="s">
        <v>54</v>
      </c>
      <c r="C9" s="10">
        <f>VLOOKUP($A9,'SAS Data'!$1:$1048576,MATCH(C$1,'SAS Data'!$3:$3,0),FALSE)</f>
        <v>3</v>
      </c>
      <c r="D9" s="10">
        <f>VLOOKUP($A9,'SAS Data'!$1:$1048576,MATCH(D$1,'SAS Data'!$3:$3,0),FALSE)</f>
        <v>2</v>
      </c>
      <c r="E9" s="10">
        <f t="shared" si="1"/>
        <v>5</v>
      </c>
      <c r="F9" s="11">
        <f>VLOOKUP($A9,'SAS Data'!$1:$1048576,MATCH(F$1,'SAS Data'!$3:$3,0),FALSE)</f>
        <v>19.787510137875103</v>
      </c>
      <c r="G9" s="12">
        <f>VLOOKUP($A9,'SAS Data'!$1:$1048576,MATCH(G$1,'SAS Data'!$3:$3,0),FALSE)</f>
        <v>7398</v>
      </c>
      <c r="H9" s="12">
        <f>+Activities_Sample[[#This Row],[Act Cph]]*Activities_Sample[[#This Row],[Act Hrsn]]</f>
        <v>146388</v>
      </c>
      <c r="I9" s="10">
        <f>COUNTIF('Act detail'!A:C,A9)</f>
        <v>6</v>
      </c>
      <c r="J9" s="13">
        <v>16.2</v>
      </c>
      <c r="K9" s="13">
        <v>18.82</v>
      </c>
      <c r="L9" s="13">
        <v>16.979999999999997</v>
      </c>
      <c r="M9" s="13">
        <v>17.283333333333335</v>
      </c>
      <c r="N9" s="37">
        <f>COUNTIFS('Act detail'!$A:$A,$A9,'Act detail'!$C:$C,"&lt;"&amp;L9)</f>
        <v>3</v>
      </c>
      <c r="O9" s="37">
        <f>COUNTIFS('Act detail'!$A:$A,$A9,'Act detail'!$C:$C,"&lt;"&amp;M9)</f>
        <v>4</v>
      </c>
      <c r="P9" s="37">
        <f>COUNTIFS('Act detail'!A:A,$A9,'Act detail'!$C:$C,"&lt;"&amp;$AC$1)</f>
        <v>6</v>
      </c>
      <c r="Q9" s="37">
        <f>COUNTIFS('Act detail'!A:A,$A9,'Act detail'!$C:$C,"&lt;"&amp;$AC$2)</f>
        <v>4</v>
      </c>
      <c r="R9" s="37">
        <f>COUNTIFS('Act detail'!A:A,$A9,'Act detail'!$C:$C,"&lt;"&amp;$AC$3)</f>
        <v>4</v>
      </c>
      <c r="S9" s="12">
        <f>+Activities_Sample[[#This Row],[Act Aide median]]*Activities_Sample[[#This Row],[Act Hrsn]]</f>
        <v>125618.03999999998</v>
      </c>
      <c r="T9" s="12">
        <f>+Activities_Sample[[#This Row],[Act Aide average]]*Activities_Sample[[#This Row],[Act Hrsn]]</f>
        <v>127862.1</v>
      </c>
      <c r="U9" s="14">
        <f>Activities_Sample[[#This Row],[Est median wage cost ]]/Activities_Sample[[#This Row],[Cost]]</f>
        <v>0.8581170587753093</v>
      </c>
      <c r="V9" s="14">
        <f>Activities_Sample[[#This Row],[Est average wage cost]]/Activities_Sample[[#This Row],[Cost]]</f>
        <v>0.87344659398311342</v>
      </c>
      <c r="W9" s="14">
        <f>+Activities_Sample[[#This Row],[Act Aide min]]/Activities_Sample[[#This Row],[Act Aide median]]</f>
        <v>0.9540636042402828</v>
      </c>
      <c r="X9" s="14">
        <f>+Activities_Sample[[#This Row],[Act Aide max]]/Activities_Sample[[#This Row],[Act Aide median]]</f>
        <v>1.1083627797408719</v>
      </c>
      <c r="Y9" s="10">
        <f>VLOOKUP(A9,Summary!$1:$1048576,2,FALSE)</f>
        <v>3</v>
      </c>
      <c r="AB9" s="15" t="s">
        <v>85</v>
      </c>
      <c r="AC9" s="14">
        <f>+Activities_Sample[[#Totals],[Below Floor]]/Activities_Sample[[#Totals],[Act Aide count Per Data Sample]]</f>
        <v>0.98130841121495327</v>
      </c>
    </row>
    <row r="10" spans="1:30" x14ac:dyDescent="0.55000000000000004">
      <c r="A10" s="10">
        <v>183</v>
      </c>
      <c r="B10" s="10" t="s">
        <v>54</v>
      </c>
      <c r="C10" s="10">
        <f>VLOOKUP($A10,'SAS Data'!$1:$1048576,MATCH(C$1,'SAS Data'!$3:$3,0),FALSE)</f>
        <v>2</v>
      </c>
      <c r="D10" s="10">
        <f>VLOOKUP($A10,'SAS Data'!$1:$1048576,MATCH(D$1,'SAS Data'!$3:$3,0),FALSE)</f>
        <v>0</v>
      </c>
      <c r="E10" s="10">
        <f t="shared" si="1"/>
        <v>2</v>
      </c>
      <c r="F10" s="11">
        <f>VLOOKUP($A10,'SAS Data'!$1:$1048576,MATCH(F$1,'SAS Data'!$3:$3,0),FALSE)</f>
        <v>21.278767631774311</v>
      </c>
      <c r="G10" s="12">
        <f>VLOOKUP($A10,'SAS Data'!$1:$1048576,MATCH(G$1,'SAS Data'!$3:$3,0),FALSE)</f>
        <v>2694</v>
      </c>
      <c r="H10" s="12">
        <f>+Activities_Sample[[#This Row],[Act Cph]]*Activities_Sample[[#This Row],[Act Hrsn]]</f>
        <v>57324.999999999993</v>
      </c>
      <c r="I10" s="10">
        <f>COUNTIF('Act detail'!A:C,A10)</f>
        <v>1</v>
      </c>
      <c r="J10" s="13">
        <v>24.53</v>
      </c>
      <c r="K10" s="13">
        <v>24.53</v>
      </c>
      <c r="L10" s="13">
        <v>24.53</v>
      </c>
      <c r="M10" s="13">
        <v>24.53</v>
      </c>
      <c r="N10" s="37">
        <f>COUNTIFS('Act detail'!$A:$A,$A10,'Act detail'!$C:$C,"&lt;"&amp;L10)</f>
        <v>0</v>
      </c>
      <c r="O10" s="37">
        <f>COUNTIFS('Act detail'!$A:$A,$A10,'Act detail'!$C:$C,"&lt;"&amp;M10)</f>
        <v>0</v>
      </c>
      <c r="P10" s="37">
        <f>COUNTIFS('Act detail'!A:A,$A10,'Act detail'!$C:$C,"&lt;"&amp;$AC$1)</f>
        <v>1</v>
      </c>
      <c r="Q10" s="37">
        <f>COUNTIFS('Act detail'!A:A,$A10,'Act detail'!$C:$C,"&lt;"&amp;$AC$2)</f>
        <v>0</v>
      </c>
      <c r="R10" s="37">
        <f>COUNTIFS('Act detail'!A:A,$A10,'Act detail'!$C:$C,"&lt;"&amp;$AC$3)</f>
        <v>0</v>
      </c>
      <c r="S10" s="12">
        <f>+Activities_Sample[[#This Row],[Act Aide median]]*Activities_Sample[[#This Row],[Act Hrsn]]</f>
        <v>66083.820000000007</v>
      </c>
      <c r="T10" s="12">
        <f>+Activities_Sample[[#This Row],[Act Aide average]]*Activities_Sample[[#This Row],[Act Hrsn]]</f>
        <v>66083.820000000007</v>
      </c>
      <c r="U10" s="14">
        <f>Activities_Sample[[#This Row],[Est median wage cost ]]/Activities_Sample[[#This Row],[Cost]]</f>
        <v>1.1527923244657656</v>
      </c>
      <c r="V10" s="14">
        <f>Activities_Sample[[#This Row],[Est average wage cost]]/Activities_Sample[[#This Row],[Cost]]</f>
        <v>1.1527923244657656</v>
      </c>
      <c r="W10" s="14">
        <f>+Activities_Sample[[#This Row],[Act Aide min]]/Activities_Sample[[#This Row],[Act Aide median]]</f>
        <v>1</v>
      </c>
      <c r="X10" s="14">
        <f>+Activities_Sample[[#This Row],[Act Aide max]]/Activities_Sample[[#This Row],[Act Aide median]]</f>
        <v>1</v>
      </c>
      <c r="Y10" s="10">
        <f>VLOOKUP(A10,Summary!$1:$1048576,2,FALSE)</f>
        <v>1</v>
      </c>
      <c r="AB10" s="15" t="s">
        <v>86</v>
      </c>
      <c r="AC10" s="14">
        <f>+Activities_Sample[[#Totals],[Below weighted average median wage]]/Activities_Sample[[#Totals],[Act Aide count Per Data Sample]]</f>
        <v>0.57009345794392519</v>
      </c>
    </row>
    <row r="11" spans="1:30" x14ac:dyDescent="0.55000000000000004">
      <c r="A11" s="10">
        <v>205</v>
      </c>
      <c r="B11" s="10" t="s">
        <v>54</v>
      </c>
      <c r="C11" s="10">
        <f>VLOOKUP($A11,'SAS Data'!$1:$1048576,MATCH(C$1,'SAS Data'!$3:$3,0),FALSE)</f>
        <v>2</v>
      </c>
      <c r="D11" s="10">
        <f>VLOOKUP($A11,'SAS Data'!$1:$1048576,MATCH(D$1,'SAS Data'!$3:$3,0),FALSE)</f>
        <v>8</v>
      </c>
      <c r="E11" s="10">
        <f t="shared" si="1"/>
        <v>10</v>
      </c>
      <c r="F11" s="11">
        <f>VLOOKUP($A11,'SAS Data'!$1:$1048576,MATCH(F$1,'SAS Data'!$3:$3,0),FALSE)</f>
        <v>13.931723750701853</v>
      </c>
      <c r="G11" s="12">
        <f>VLOOKUP($A11,'SAS Data'!$1:$1048576,MATCH(G$1,'SAS Data'!$3:$3,0),FALSE)</f>
        <v>8905</v>
      </c>
      <c r="H11" s="12">
        <f>+Activities_Sample[[#This Row],[Act Cph]]*Activities_Sample[[#This Row],[Act Hrsn]]</f>
        <v>124062</v>
      </c>
      <c r="I11" s="10">
        <f>COUNTIF('Act detail'!A:C,A11)</f>
        <v>7</v>
      </c>
      <c r="J11" s="13">
        <v>11.25</v>
      </c>
      <c r="K11" s="13">
        <v>18.5</v>
      </c>
      <c r="L11" s="13">
        <v>11.75</v>
      </c>
      <c r="M11" s="13">
        <v>12.642857142857142</v>
      </c>
      <c r="N11" s="37">
        <f>COUNTIFS('Act detail'!$A:$A,$A11,'Act detail'!$C:$C,"&lt;"&amp;L11)</f>
        <v>3</v>
      </c>
      <c r="O11" s="37">
        <f>COUNTIFS('Act detail'!$A:$A,$A11,'Act detail'!$C:$C,"&lt;"&amp;M11)</f>
        <v>6</v>
      </c>
      <c r="P11" s="37">
        <f>COUNTIFS('Act detail'!A:A,$A11,'Act detail'!$C:$C,"&lt;"&amp;$AC$1)</f>
        <v>7</v>
      </c>
      <c r="Q11" s="37">
        <f>COUNTIFS('Act detail'!A:A,$A11,'Act detail'!$C:$C,"&lt;"&amp;$AC$2)</f>
        <v>6</v>
      </c>
      <c r="R11" s="37">
        <f>COUNTIFS('Act detail'!A:A,$A11,'Act detail'!$C:$C,"&lt;"&amp;$AC$3)</f>
        <v>6</v>
      </c>
      <c r="S11" s="12">
        <f>+Activities_Sample[[#This Row],[Act Aide median]]*Activities_Sample[[#This Row],[Act Hrsn]]</f>
        <v>104633.75</v>
      </c>
      <c r="T11" s="12">
        <f>+Activities_Sample[[#This Row],[Act Aide average]]*Activities_Sample[[#This Row],[Act Hrsn]]</f>
        <v>112584.64285714286</v>
      </c>
      <c r="U11" s="14">
        <f>Activities_Sample[[#This Row],[Est median wage cost ]]/Activities_Sample[[#This Row],[Cost]]</f>
        <v>0.84339886508358719</v>
      </c>
      <c r="V11" s="14">
        <f>Activities_Sample[[#This Row],[Est average wage cost]]/Activities_Sample[[#This Row],[Cost]]</f>
        <v>0.90748692474039472</v>
      </c>
      <c r="W11" s="14">
        <f>+Activities_Sample[[#This Row],[Act Aide min]]/Activities_Sample[[#This Row],[Act Aide median]]</f>
        <v>0.95744680851063835</v>
      </c>
      <c r="X11" s="14">
        <f>+Activities_Sample[[#This Row],[Act Aide max]]/Activities_Sample[[#This Row],[Act Aide median]]</f>
        <v>1.574468085106383</v>
      </c>
      <c r="Y11" s="10">
        <f>VLOOKUP(A11,Summary!$1:$1048576,2,FALSE)</f>
        <v>2</v>
      </c>
      <c r="AB11" s="15" t="s">
        <v>87</v>
      </c>
      <c r="AC11" s="14">
        <f>+Activities_Sample[[#Totals],[Below weighted average, average wage]]/Activities_Sample[[#Totals],[Act Aide count Per Data Sample]]</f>
        <v>0.58878504672897192</v>
      </c>
    </row>
    <row r="12" spans="1:30" x14ac:dyDescent="0.55000000000000004">
      <c r="A12" s="10">
        <v>206</v>
      </c>
      <c r="B12" s="10" t="s">
        <v>54</v>
      </c>
      <c r="C12" s="10">
        <f>VLOOKUP($A12,'SAS Data'!$1:$1048576,MATCH(C$1,'SAS Data'!$3:$3,0),FALSE)</f>
        <v>3</v>
      </c>
      <c r="D12" s="10">
        <f>VLOOKUP($A12,'SAS Data'!$1:$1048576,MATCH(D$1,'SAS Data'!$3:$3,0),FALSE)</f>
        <v>1</v>
      </c>
      <c r="E12" s="10">
        <f t="shared" si="1"/>
        <v>4</v>
      </c>
      <c r="F12" s="11">
        <f>VLOOKUP($A12,'SAS Data'!$1:$1048576,MATCH(F$1,'SAS Data'!$3:$3,0),FALSE)</f>
        <v>16.600283486888731</v>
      </c>
      <c r="G12" s="12">
        <f>VLOOKUP($A12,'SAS Data'!$1:$1048576,MATCH(G$1,'SAS Data'!$3:$3,0),FALSE)</f>
        <v>8466</v>
      </c>
      <c r="H12" s="12">
        <f>+Activities_Sample[[#This Row],[Act Cph]]*Activities_Sample[[#This Row],[Act Hrsn]]</f>
        <v>140538</v>
      </c>
      <c r="I12" s="10">
        <f>COUNTIF('Act detail'!A:C,A12)</f>
        <v>7</v>
      </c>
      <c r="J12" s="13">
        <v>14.4</v>
      </c>
      <c r="K12" s="13">
        <v>25</v>
      </c>
      <c r="L12" s="13">
        <v>17.52</v>
      </c>
      <c r="M12" s="13">
        <v>17.785714285714285</v>
      </c>
      <c r="N12" s="37">
        <f>COUNTIFS('Act detail'!$A:$A,$A12,'Act detail'!$C:$C,"&lt;"&amp;L12)</f>
        <v>3</v>
      </c>
      <c r="O12" s="37">
        <f>COUNTIFS('Act detail'!$A:$A,$A12,'Act detail'!$C:$C,"&lt;"&amp;M12)</f>
        <v>5</v>
      </c>
      <c r="P12" s="37">
        <f>COUNTIFS('Act detail'!A:A,$A12,'Act detail'!$C:$C,"&lt;"&amp;$AC$1)</f>
        <v>6</v>
      </c>
      <c r="Q12" s="37">
        <f>COUNTIFS('Act detail'!A:A,$A12,'Act detail'!$C:$C,"&lt;"&amp;$AC$2)</f>
        <v>3</v>
      </c>
      <c r="R12" s="37">
        <f>COUNTIFS('Act detail'!A:A,$A12,'Act detail'!$C:$C,"&lt;"&amp;$AC$3)</f>
        <v>3</v>
      </c>
      <c r="S12" s="12">
        <f>+Activities_Sample[[#This Row],[Act Aide median]]*Activities_Sample[[#This Row],[Act Hrsn]]</f>
        <v>148324.32</v>
      </c>
      <c r="T12" s="12">
        <f>+Activities_Sample[[#This Row],[Act Aide average]]*Activities_Sample[[#This Row],[Act Hrsn]]</f>
        <v>150573.85714285713</v>
      </c>
      <c r="U12" s="14">
        <f>Activities_Sample[[#This Row],[Est median wage cost ]]/Activities_Sample[[#This Row],[Cost]]</f>
        <v>1.0554036630662169</v>
      </c>
      <c r="V12" s="14">
        <f>Activities_Sample[[#This Row],[Est average wage cost]]/Activities_Sample[[#This Row],[Cost]]</f>
        <v>1.0714102743945206</v>
      </c>
      <c r="W12" s="14">
        <f>+Activities_Sample[[#This Row],[Act Aide min]]/Activities_Sample[[#This Row],[Act Aide median]]</f>
        <v>0.82191780821917815</v>
      </c>
      <c r="X12" s="14">
        <f>+Activities_Sample[[#This Row],[Act Aide max]]/Activities_Sample[[#This Row],[Act Aide median]]</f>
        <v>1.4269406392694064</v>
      </c>
      <c r="Y12" s="10">
        <f>VLOOKUP(A12,Summary!$1:$1048576,2,FALSE)</f>
        <v>2</v>
      </c>
    </row>
    <row r="13" spans="1:30" x14ac:dyDescent="0.55000000000000004">
      <c r="A13" s="10">
        <v>212</v>
      </c>
      <c r="B13" s="10" t="s">
        <v>54</v>
      </c>
      <c r="C13" s="10">
        <f>VLOOKUP($A13,'SAS Data'!$1:$1048576,MATCH(C$1,'SAS Data'!$3:$3,0),FALSE)</f>
        <v>4</v>
      </c>
      <c r="D13" s="10">
        <f>VLOOKUP($A13,'SAS Data'!$1:$1048576,MATCH(D$1,'SAS Data'!$3:$3,0),FALSE)</f>
        <v>0</v>
      </c>
      <c r="E13" s="10">
        <f t="shared" si="1"/>
        <v>4</v>
      </c>
      <c r="F13" s="11">
        <f>VLOOKUP($A13,'SAS Data'!$1:$1048576,MATCH(F$1,'SAS Data'!$3:$3,0),FALSE)</f>
        <v>19.54533076137524</v>
      </c>
      <c r="G13" s="12">
        <f>VLOOKUP($A13,'SAS Data'!$1:$1048576,MATCH(G$1,'SAS Data'!$3:$3,0),FALSE)</f>
        <v>8813</v>
      </c>
      <c r="H13" s="12">
        <f>+Activities_Sample[[#This Row],[Act Cph]]*Activities_Sample[[#This Row],[Act Hrsn]]</f>
        <v>172253</v>
      </c>
      <c r="I13" s="10">
        <f>COUNTIF('Act detail'!A:C,A13)</f>
        <v>4</v>
      </c>
      <c r="J13" s="13">
        <v>14</v>
      </c>
      <c r="K13" s="13">
        <v>19.46</v>
      </c>
      <c r="L13" s="13">
        <v>18.344999999999999</v>
      </c>
      <c r="M13" s="13">
        <v>17.537500000000001</v>
      </c>
      <c r="N13" s="37">
        <f>COUNTIFS('Act detail'!$A:$A,$A13,'Act detail'!$C:$C,"&lt;"&amp;L13)</f>
        <v>2</v>
      </c>
      <c r="O13" s="37">
        <f>COUNTIFS('Act detail'!$A:$A,$A13,'Act detail'!$C:$C,"&lt;"&amp;M13)</f>
        <v>1</v>
      </c>
      <c r="P13" s="37">
        <f>COUNTIFS('Act detail'!A:A,$A13,'Act detail'!$C:$C,"&lt;"&amp;$AC$1)</f>
        <v>4</v>
      </c>
      <c r="Q13" s="37">
        <f>COUNTIFS('Act detail'!A:A,$A13,'Act detail'!$C:$C,"&lt;"&amp;$AC$2)</f>
        <v>1</v>
      </c>
      <c r="R13" s="37">
        <f>COUNTIFS('Act detail'!A:A,$A13,'Act detail'!$C:$C,"&lt;"&amp;$AC$3)</f>
        <v>1</v>
      </c>
      <c r="S13" s="12">
        <f>+Activities_Sample[[#This Row],[Act Aide median]]*Activities_Sample[[#This Row],[Act Hrsn]]</f>
        <v>161674.48499999999</v>
      </c>
      <c r="T13" s="12">
        <f>+Activities_Sample[[#This Row],[Act Aide average]]*Activities_Sample[[#This Row],[Act Hrsn]]</f>
        <v>154557.98750000002</v>
      </c>
      <c r="U13" s="14">
        <f>Activities_Sample[[#This Row],[Est median wage cost ]]/Activities_Sample[[#This Row],[Cost]]</f>
        <v>0.93858733955286688</v>
      </c>
      <c r="V13" s="14">
        <f>Activities_Sample[[#This Row],[Est average wage cost]]/Activities_Sample[[#This Row],[Cost]]</f>
        <v>0.89727312441583029</v>
      </c>
      <c r="W13" s="14">
        <f>+Activities_Sample[[#This Row],[Act Aide min]]/Activities_Sample[[#This Row],[Act Aide median]]</f>
        <v>0.76315072226764791</v>
      </c>
      <c r="X13" s="14">
        <f>+Activities_Sample[[#This Row],[Act Aide max]]/Activities_Sample[[#This Row],[Act Aide median]]</f>
        <v>1.0607795039520307</v>
      </c>
      <c r="Y13" s="10">
        <f>VLOOKUP(A13,Summary!$1:$1048576,2,FALSE)</f>
        <v>3</v>
      </c>
    </row>
    <row r="14" spans="1:30" x14ac:dyDescent="0.55000000000000004">
      <c r="A14" s="10">
        <v>218</v>
      </c>
      <c r="B14" s="10" t="s">
        <v>54</v>
      </c>
      <c r="C14" s="10">
        <f>VLOOKUP($A14,'SAS Data'!$1:$1048576,MATCH(C$1,'SAS Data'!$3:$3,0),FALSE)</f>
        <v>2</v>
      </c>
      <c r="D14" s="10">
        <f>VLOOKUP($A14,'SAS Data'!$1:$1048576,MATCH(D$1,'SAS Data'!$3:$3,0),FALSE)</f>
        <v>2</v>
      </c>
      <c r="E14" s="10">
        <f t="shared" si="1"/>
        <v>4</v>
      </c>
      <c r="F14" s="11">
        <f>VLOOKUP($A14,'SAS Data'!$1:$1048576,MATCH(F$1,'SAS Data'!$3:$3,0),FALSE)</f>
        <v>15.798885793871866</v>
      </c>
      <c r="G14" s="12">
        <f>VLOOKUP($A14,'SAS Data'!$1:$1048576,MATCH(G$1,'SAS Data'!$3:$3,0),FALSE)</f>
        <v>5385</v>
      </c>
      <c r="H14" s="12">
        <f>+Activities_Sample[[#This Row],[Act Cph]]*Activities_Sample[[#This Row],[Act Hrsn]]</f>
        <v>85077</v>
      </c>
      <c r="I14" s="10">
        <f>COUNTIF('Act detail'!A:C,A14)</f>
        <v>5</v>
      </c>
      <c r="J14" s="13">
        <v>18</v>
      </c>
      <c r="K14" s="13">
        <v>26</v>
      </c>
      <c r="L14" s="13">
        <v>20</v>
      </c>
      <c r="M14" s="13">
        <v>21.4</v>
      </c>
      <c r="N14" s="37">
        <f>COUNTIFS('Act detail'!$A:$A,$A14,'Act detail'!$C:$C,"&lt;"&amp;L14)</f>
        <v>1</v>
      </c>
      <c r="O14" s="37">
        <f>COUNTIFS('Act detail'!$A:$A,$A14,'Act detail'!$C:$C,"&lt;"&amp;M14)</f>
        <v>3</v>
      </c>
      <c r="P14" s="37">
        <f>COUNTIFS('Act detail'!A:A,$A14,'Act detail'!$C:$C,"&lt;"&amp;$AC$1)</f>
        <v>4</v>
      </c>
      <c r="Q14" s="37">
        <f>COUNTIFS('Act detail'!A:A,$A14,'Act detail'!$C:$C,"&lt;"&amp;$AC$2)</f>
        <v>0</v>
      </c>
      <c r="R14" s="37">
        <f>COUNTIFS('Act detail'!A:A,$A14,'Act detail'!$C:$C,"&lt;"&amp;$AC$3)</f>
        <v>0</v>
      </c>
      <c r="S14" s="12">
        <f>+Activities_Sample[[#This Row],[Act Aide median]]*Activities_Sample[[#This Row],[Act Hrsn]]</f>
        <v>107700</v>
      </c>
      <c r="T14" s="12">
        <f>+Activities_Sample[[#This Row],[Act Aide average]]*Activities_Sample[[#This Row],[Act Hrsn]]</f>
        <v>115238.99999999999</v>
      </c>
      <c r="U14" s="14">
        <f>Activities_Sample[[#This Row],[Est median wage cost ]]/Activities_Sample[[#This Row],[Cost]]</f>
        <v>1.2659120561373813</v>
      </c>
      <c r="V14" s="14">
        <f>Activities_Sample[[#This Row],[Est average wage cost]]/Activities_Sample[[#This Row],[Cost]]</f>
        <v>1.354525900066998</v>
      </c>
      <c r="W14" s="14">
        <f>+Activities_Sample[[#This Row],[Act Aide min]]/Activities_Sample[[#This Row],[Act Aide median]]</f>
        <v>0.9</v>
      </c>
      <c r="X14" s="14">
        <f>+Activities_Sample[[#This Row],[Act Aide max]]/Activities_Sample[[#This Row],[Act Aide median]]</f>
        <v>1.3</v>
      </c>
      <c r="Y14" s="10">
        <f>VLOOKUP(A14,Summary!$1:$1048576,2,FALSE)</f>
        <v>2</v>
      </c>
    </row>
    <row r="15" spans="1:30" x14ac:dyDescent="0.55000000000000004">
      <c r="A15" s="10">
        <v>222</v>
      </c>
      <c r="B15" s="10" t="s">
        <v>54</v>
      </c>
      <c r="C15" s="10">
        <f>VLOOKUP($A15,'SAS Data'!$1:$1048576,MATCH(C$1,'SAS Data'!$3:$3,0),FALSE)</f>
        <v>1</v>
      </c>
      <c r="D15" s="10">
        <f>VLOOKUP($A15,'SAS Data'!$1:$1048576,MATCH(D$1,'SAS Data'!$3:$3,0),FALSE)</f>
        <v>2</v>
      </c>
      <c r="E15" s="10">
        <f t="shared" si="1"/>
        <v>3</v>
      </c>
      <c r="F15" s="11">
        <f>VLOOKUP($A15,'SAS Data'!$1:$1048576,MATCH(F$1,'SAS Data'!$3:$3,0),FALSE)</f>
        <v>16.53654927493341</v>
      </c>
      <c r="G15" s="12">
        <f>VLOOKUP($A15,'SAS Data'!$1:$1048576,MATCH(G$1,'SAS Data'!$3:$3,0),FALSE)</f>
        <v>3379</v>
      </c>
      <c r="H15" s="12">
        <f>+Activities_Sample[[#This Row],[Act Cph]]*Activities_Sample[[#This Row],[Act Hrsn]]</f>
        <v>55876.999999999993</v>
      </c>
      <c r="I15" s="10">
        <f>COUNTIF('Act detail'!A:C,A15)</f>
        <v>2</v>
      </c>
      <c r="J15" s="13">
        <v>14.18</v>
      </c>
      <c r="K15" s="13">
        <v>14.3</v>
      </c>
      <c r="L15" s="13">
        <v>14.24</v>
      </c>
      <c r="M15" s="13">
        <v>14.24</v>
      </c>
      <c r="N15" s="37">
        <f>COUNTIFS('Act detail'!$A:$A,$A15,'Act detail'!$C:$C,"&lt;"&amp;L15)</f>
        <v>1</v>
      </c>
      <c r="O15" s="37">
        <f>COUNTIFS('Act detail'!$A:$A,$A15,'Act detail'!$C:$C,"&lt;"&amp;M15)</f>
        <v>1</v>
      </c>
      <c r="P15" s="37">
        <f>COUNTIFS('Act detail'!A:A,$A15,'Act detail'!$C:$C,"&lt;"&amp;$AC$1)</f>
        <v>2</v>
      </c>
      <c r="Q15" s="37">
        <f>COUNTIFS('Act detail'!A:A,$A15,'Act detail'!$C:$C,"&lt;"&amp;$AC$2)</f>
        <v>2</v>
      </c>
      <c r="R15" s="37">
        <f>COUNTIFS('Act detail'!A:A,$A15,'Act detail'!$C:$C,"&lt;"&amp;$AC$3)</f>
        <v>2</v>
      </c>
      <c r="S15" s="12">
        <f>+Activities_Sample[[#This Row],[Act Aide median]]*Activities_Sample[[#This Row],[Act Hrsn]]</f>
        <v>48116.959999999999</v>
      </c>
      <c r="T15" s="12">
        <f>+Activities_Sample[[#This Row],[Act Aide average]]*Activities_Sample[[#This Row],[Act Hrsn]]</f>
        <v>48116.959999999999</v>
      </c>
      <c r="U15" s="14">
        <f>Activities_Sample[[#This Row],[Est median wage cost ]]/Activities_Sample[[#This Row],[Cost]]</f>
        <v>0.86112282334413093</v>
      </c>
      <c r="V15" s="14">
        <f>Activities_Sample[[#This Row],[Est average wage cost]]/Activities_Sample[[#This Row],[Cost]]</f>
        <v>0.86112282334413093</v>
      </c>
      <c r="W15" s="14">
        <f>+Activities_Sample[[#This Row],[Act Aide min]]/Activities_Sample[[#This Row],[Act Aide median]]</f>
        <v>0.9957865168539326</v>
      </c>
      <c r="X15" s="14">
        <f>+Activities_Sample[[#This Row],[Act Aide max]]/Activities_Sample[[#This Row],[Act Aide median]]</f>
        <v>1.0042134831460674</v>
      </c>
      <c r="Y15" s="10">
        <f>VLOOKUP(A15,Summary!$1:$1048576,2,FALSE)</f>
        <v>3</v>
      </c>
    </row>
    <row r="16" spans="1:30" x14ac:dyDescent="0.55000000000000004">
      <c r="A16" s="10">
        <v>227</v>
      </c>
      <c r="B16" s="10" t="s">
        <v>54</v>
      </c>
      <c r="C16" s="10">
        <f>VLOOKUP($A16,'SAS Data'!$1:$1048576,MATCH(C$1,'SAS Data'!$3:$3,0),FALSE)</f>
        <v>2</v>
      </c>
      <c r="D16" s="10">
        <f>VLOOKUP($A16,'SAS Data'!$1:$1048576,MATCH(D$1,'SAS Data'!$3:$3,0),FALSE)</f>
        <v>3</v>
      </c>
      <c r="E16" s="10">
        <f t="shared" si="1"/>
        <v>5</v>
      </c>
      <c r="F16" s="11">
        <f>VLOOKUP($A16,'SAS Data'!$1:$1048576,MATCH(F$1,'SAS Data'!$3:$3,0),FALSE)</f>
        <v>15.981198003327787</v>
      </c>
      <c r="G16" s="12">
        <f>VLOOKUP($A16,'SAS Data'!$1:$1048576,MATCH(G$1,'SAS Data'!$3:$3,0),FALSE)</f>
        <v>6010</v>
      </c>
      <c r="H16" s="12">
        <f>+Activities_Sample[[#This Row],[Act Cph]]*Activities_Sample[[#This Row],[Act Hrsn]]</f>
        <v>96047</v>
      </c>
      <c r="I16" s="10">
        <f>COUNTIF('Act detail'!A:C,A16)</f>
        <v>4</v>
      </c>
      <c r="J16" s="13">
        <v>11.83</v>
      </c>
      <c r="K16" s="13">
        <v>16.36</v>
      </c>
      <c r="L16" s="13">
        <v>13.68</v>
      </c>
      <c r="M16" s="13">
        <v>13.887499999999999</v>
      </c>
      <c r="N16" s="37">
        <f>COUNTIFS('Act detail'!$A:$A,$A16,'Act detail'!$C:$C,"&lt;"&amp;L16)</f>
        <v>2</v>
      </c>
      <c r="O16" s="37">
        <f>COUNTIFS('Act detail'!$A:$A,$A16,'Act detail'!$C:$C,"&lt;"&amp;M16)</f>
        <v>2</v>
      </c>
      <c r="P16" s="37">
        <f>COUNTIFS('Act detail'!A:A,$A16,'Act detail'!$C:$C,"&lt;"&amp;$AC$1)</f>
        <v>4</v>
      </c>
      <c r="Q16" s="37">
        <f>COUNTIFS('Act detail'!A:A,$A16,'Act detail'!$C:$C,"&lt;"&amp;$AC$2)</f>
        <v>4</v>
      </c>
      <c r="R16" s="37">
        <f>COUNTIFS('Act detail'!A:A,$A16,'Act detail'!$C:$C,"&lt;"&amp;$AC$3)</f>
        <v>4</v>
      </c>
      <c r="S16" s="12">
        <f>+Activities_Sample[[#This Row],[Act Aide median]]*Activities_Sample[[#This Row],[Act Hrsn]]</f>
        <v>82216.800000000003</v>
      </c>
      <c r="T16" s="12">
        <f>+Activities_Sample[[#This Row],[Act Aide average]]*Activities_Sample[[#This Row],[Act Hrsn]]</f>
        <v>83463.875</v>
      </c>
      <c r="U16" s="14">
        <f>Activities_Sample[[#This Row],[Est median wage cost ]]/Activities_Sample[[#This Row],[Cost]]</f>
        <v>0.8560059137713828</v>
      </c>
      <c r="V16" s="14">
        <f>Activities_Sample[[#This Row],[Est average wage cost]]/Activities_Sample[[#This Row],[Cost]]</f>
        <v>0.86898992160088295</v>
      </c>
      <c r="W16" s="14">
        <f>+Activities_Sample[[#This Row],[Act Aide min]]/Activities_Sample[[#This Row],[Act Aide median]]</f>
        <v>0.86476608187134507</v>
      </c>
      <c r="X16" s="14">
        <f>+Activities_Sample[[#This Row],[Act Aide max]]/Activities_Sample[[#This Row],[Act Aide median]]</f>
        <v>1.195906432748538</v>
      </c>
      <c r="Y16" s="10">
        <f>VLOOKUP(A16,Summary!$1:$1048576,2,FALSE)</f>
        <v>2</v>
      </c>
    </row>
    <row r="17" spans="1:25" x14ac:dyDescent="0.55000000000000004">
      <c r="A17" s="10">
        <v>234</v>
      </c>
      <c r="B17" s="10" t="s">
        <v>54</v>
      </c>
      <c r="C17" s="10">
        <f>VLOOKUP($A17,'SAS Data'!$1:$1048576,MATCH(C$1,'SAS Data'!$3:$3,0),FALSE)</f>
        <v>2</v>
      </c>
      <c r="D17" s="10">
        <f>VLOOKUP($A17,'SAS Data'!$1:$1048576,MATCH(D$1,'SAS Data'!$3:$3,0),FALSE)</f>
        <v>1</v>
      </c>
      <c r="E17" s="10">
        <f t="shared" si="1"/>
        <v>3</v>
      </c>
      <c r="F17" s="11">
        <f>VLOOKUP($A17,'SAS Data'!$1:$1048576,MATCH(F$1,'SAS Data'!$3:$3,0),FALSE)</f>
        <v>22.033740426412749</v>
      </c>
      <c r="G17" s="12">
        <f>VLOOKUP($A17,'SAS Data'!$1:$1048576,MATCH(G$1,'SAS Data'!$3:$3,0),FALSE)</f>
        <v>4831</v>
      </c>
      <c r="H17" s="12">
        <f>+Activities_Sample[[#This Row],[Act Cph]]*Activities_Sample[[#This Row],[Act Hrsn]]</f>
        <v>106444.99999999999</v>
      </c>
      <c r="I17" s="10">
        <f>COUNTIF('Act detail'!A:C,A17)</f>
        <v>1</v>
      </c>
      <c r="J17" s="13">
        <v>17.5</v>
      </c>
      <c r="K17" s="13">
        <v>17.5</v>
      </c>
      <c r="L17" s="13">
        <v>17.5</v>
      </c>
      <c r="M17" s="13">
        <v>17.5</v>
      </c>
      <c r="N17" s="37">
        <f>COUNTIFS('Act detail'!$A:$A,$A17,'Act detail'!$C:$C,"&lt;"&amp;L17)</f>
        <v>0</v>
      </c>
      <c r="O17" s="37">
        <f>COUNTIFS('Act detail'!$A:$A,$A17,'Act detail'!$C:$C,"&lt;"&amp;M17)</f>
        <v>0</v>
      </c>
      <c r="P17" s="37">
        <f>COUNTIFS('Act detail'!A:A,$A17,'Act detail'!$C:$C,"&lt;"&amp;$AC$1)</f>
        <v>1</v>
      </c>
      <c r="Q17" s="37">
        <f>COUNTIFS('Act detail'!A:A,$A17,'Act detail'!$C:$C,"&lt;"&amp;$AC$2)</f>
        <v>0</v>
      </c>
      <c r="R17" s="37">
        <f>COUNTIFS('Act detail'!A:A,$A17,'Act detail'!$C:$C,"&lt;"&amp;$AC$3)</f>
        <v>0</v>
      </c>
      <c r="S17" s="12">
        <f>+Activities_Sample[[#This Row],[Act Aide median]]*Activities_Sample[[#This Row],[Act Hrsn]]</f>
        <v>84542.5</v>
      </c>
      <c r="T17" s="12">
        <f>+Activities_Sample[[#This Row],[Act Aide average]]*Activities_Sample[[#This Row],[Act Hrsn]]</f>
        <v>84542.5</v>
      </c>
      <c r="U17" s="14">
        <f>Activities_Sample[[#This Row],[Est median wage cost ]]/Activities_Sample[[#This Row],[Cost]]</f>
        <v>0.79423646014373628</v>
      </c>
      <c r="V17" s="14">
        <f>Activities_Sample[[#This Row],[Est average wage cost]]/Activities_Sample[[#This Row],[Cost]]</f>
        <v>0.79423646014373628</v>
      </c>
      <c r="W17" s="14">
        <f>+Activities_Sample[[#This Row],[Act Aide min]]/Activities_Sample[[#This Row],[Act Aide median]]</f>
        <v>1</v>
      </c>
      <c r="X17" s="14">
        <f>+Activities_Sample[[#This Row],[Act Aide max]]/Activities_Sample[[#This Row],[Act Aide median]]</f>
        <v>1</v>
      </c>
      <c r="Y17" s="10">
        <f>VLOOKUP(A17,Summary!$1:$1048576,2,FALSE)</f>
        <v>3</v>
      </c>
    </row>
    <row r="18" spans="1:25" x14ac:dyDescent="0.55000000000000004">
      <c r="A18" s="10">
        <v>235</v>
      </c>
      <c r="B18" s="10" t="s">
        <v>54</v>
      </c>
      <c r="C18" s="10">
        <f>VLOOKUP($A18,'SAS Data'!$1:$1048576,MATCH(C$1,'SAS Data'!$3:$3,0),FALSE)</f>
        <v>2</v>
      </c>
      <c r="D18" s="10">
        <f>VLOOKUP($A18,'SAS Data'!$1:$1048576,MATCH(D$1,'SAS Data'!$3:$3,0),FALSE)</f>
        <v>1</v>
      </c>
      <c r="E18" s="10">
        <f t="shared" si="1"/>
        <v>3</v>
      </c>
      <c r="F18" s="11">
        <f>VLOOKUP($A18,'SAS Data'!$1:$1048576,MATCH(F$1,'SAS Data'!$3:$3,0),FALSE)</f>
        <v>18.450474011114743</v>
      </c>
      <c r="G18" s="12">
        <f>VLOOKUP($A18,'SAS Data'!$1:$1048576,MATCH(G$1,'SAS Data'!$3:$3,0),FALSE)</f>
        <v>6118</v>
      </c>
      <c r="H18" s="12">
        <f>+Activities_Sample[[#This Row],[Act Cph]]*Activities_Sample[[#This Row],[Act Hrsn]]</f>
        <v>112880</v>
      </c>
      <c r="I18" s="10">
        <f>COUNTIF('Act detail'!A:C,A18)</f>
        <v>5</v>
      </c>
      <c r="J18" s="13">
        <v>15.64</v>
      </c>
      <c r="K18" s="13">
        <v>16.96</v>
      </c>
      <c r="L18" s="13">
        <v>16.260000000000002</v>
      </c>
      <c r="M18" s="13">
        <v>16.356000000000002</v>
      </c>
      <c r="N18" s="37">
        <f>COUNTIFS('Act detail'!$A:$A,$A18,'Act detail'!$C:$C,"&lt;"&amp;L18)</f>
        <v>2</v>
      </c>
      <c r="O18" s="37">
        <f>COUNTIFS('Act detail'!$A:$A,$A18,'Act detail'!$C:$C,"&lt;"&amp;M18)</f>
        <v>3</v>
      </c>
      <c r="P18" s="37">
        <f>COUNTIFS('Act detail'!A:A,$A18,'Act detail'!$C:$C,"&lt;"&amp;$AC$1)</f>
        <v>5</v>
      </c>
      <c r="Q18" s="37">
        <f>COUNTIFS('Act detail'!A:A,$A18,'Act detail'!$C:$C,"&lt;"&amp;$AC$2)</f>
        <v>5</v>
      </c>
      <c r="R18" s="37">
        <f>COUNTIFS('Act detail'!A:A,$A18,'Act detail'!$C:$C,"&lt;"&amp;$AC$3)</f>
        <v>5</v>
      </c>
      <c r="S18" s="12">
        <f>+Activities_Sample[[#This Row],[Act Aide median]]*Activities_Sample[[#This Row],[Act Hrsn]]</f>
        <v>99478.680000000008</v>
      </c>
      <c r="T18" s="12">
        <f>+Activities_Sample[[#This Row],[Act Aide average]]*Activities_Sample[[#This Row],[Act Hrsn]]</f>
        <v>100066.00800000002</v>
      </c>
      <c r="U18" s="14">
        <f>Activities_Sample[[#This Row],[Est median wage cost ]]/Activities_Sample[[#This Row],[Cost]]</f>
        <v>0.88127817150956778</v>
      </c>
      <c r="V18" s="14">
        <f>Activities_Sample[[#This Row],[Est average wage cost]]/Activities_Sample[[#This Row],[Cost]]</f>
        <v>0.88648128986534391</v>
      </c>
      <c r="W18" s="14">
        <f>+Activities_Sample[[#This Row],[Act Aide min]]/Activities_Sample[[#This Row],[Act Aide median]]</f>
        <v>0.96186961869618692</v>
      </c>
      <c r="X18" s="14">
        <f>+Activities_Sample[[#This Row],[Act Aide max]]/Activities_Sample[[#This Row],[Act Aide median]]</f>
        <v>1.0430504305043049</v>
      </c>
      <c r="Y18" s="10">
        <f>VLOOKUP(A18,Summary!$1:$1048576,2,FALSE)</f>
        <v>1</v>
      </c>
    </row>
    <row r="19" spans="1:25" x14ac:dyDescent="0.55000000000000004">
      <c r="A19" s="10">
        <v>236</v>
      </c>
      <c r="B19" s="10" t="s">
        <v>54</v>
      </c>
      <c r="C19" s="10">
        <f>VLOOKUP($A19,'SAS Data'!$1:$1048576,MATCH(C$1,'SAS Data'!$3:$3,0),FALSE)</f>
        <v>3</v>
      </c>
      <c r="D19" s="10">
        <f>VLOOKUP($A19,'SAS Data'!$1:$1048576,MATCH(D$1,'SAS Data'!$3:$3,0),FALSE)</f>
        <v>2</v>
      </c>
      <c r="E19" s="10">
        <f t="shared" si="1"/>
        <v>5</v>
      </c>
      <c r="F19" s="11">
        <f>VLOOKUP($A19,'SAS Data'!$1:$1048576,MATCH(F$1,'SAS Data'!$3:$3,0),FALSE)</f>
        <v>18.258379213754466</v>
      </c>
      <c r="G19" s="12">
        <f>VLOOKUP($A19,'SAS Data'!$1:$1048576,MATCH(G$1,'SAS Data'!$3:$3,0),FALSE)</f>
        <v>10353</v>
      </c>
      <c r="H19" s="12">
        <f>+Activities_Sample[[#This Row],[Act Cph]]*Activities_Sample[[#This Row],[Act Hrsn]]</f>
        <v>189029</v>
      </c>
      <c r="I19" s="10">
        <f>COUNTIF('Act detail'!A:C,A19)</f>
        <v>6</v>
      </c>
      <c r="J19" s="13">
        <v>15.83</v>
      </c>
      <c r="K19" s="13">
        <v>18.39</v>
      </c>
      <c r="L19" s="13">
        <v>16.23</v>
      </c>
      <c r="M19" s="13">
        <v>16.563333333333336</v>
      </c>
      <c r="N19" s="37">
        <f>COUNTIFS('Act detail'!$A:$A,$A19,'Act detail'!$C:$C,"&lt;"&amp;L19)</f>
        <v>2</v>
      </c>
      <c r="O19" s="37">
        <f>COUNTIFS('Act detail'!$A:$A,$A19,'Act detail'!$C:$C,"&lt;"&amp;M19)</f>
        <v>4</v>
      </c>
      <c r="P19" s="37">
        <f>COUNTIFS('Act detail'!A:A,$A19,'Act detail'!$C:$C,"&lt;"&amp;$AC$1)</f>
        <v>6</v>
      </c>
      <c r="Q19" s="37">
        <f>COUNTIFS('Act detail'!A:A,$A19,'Act detail'!$C:$C,"&lt;"&amp;$AC$2)</f>
        <v>5</v>
      </c>
      <c r="R19" s="37">
        <f>COUNTIFS('Act detail'!A:A,$A19,'Act detail'!$C:$C,"&lt;"&amp;$AC$3)</f>
        <v>5</v>
      </c>
      <c r="S19" s="12">
        <f>+Activities_Sample[[#This Row],[Act Aide median]]*Activities_Sample[[#This Row],[Act Hrsn]]</f>
        <v>168029.19</v>
      </c>
      <c r="T19" s="12">
        <f>+Activities_Sample[[#This Row],[Act Aide average]]*Activities_Sample[[#This Row],[Act Hrsn]]</f>
        <v>171480.19000000003</v>
      </c>
      <c r="U19" s="14">
        <f>Activities_Sample[[#This Row],[Est median wage cost ]]/Activities_Sample[[#This Row],[Cost]]</f>
        <v>0.8889069402049421</v>
      </c>
      <c r="V19" s="14">
        <f>Activities_Sample[[#This Row],[Est average wage cost]]/Activities_Sample[[#This Row],[Cost]]</f>
        <v>0.90716339820874059</v>
      </c>
      <c r="W19" s="14">
        <f>+Activities_Sample[[#This Row],[Act Aide min]]/Activities_Sample[[#This Row],[Act Aide median]]</f>
        <v>0.97535428219346887</v>
      </c>
      <c r="X19" s="14">
        <f>+Activities_Sample[[#This Row],[Act Aide max]]/Activities_Sample[[#This Row],[Act Aide median]]</f>
        <v>1.1330868761552679</v>
      </c>
      <c r="Y19" s="10">
        <f>VLOOKUP(A19,Summary!$1:$1048576,2,FALSE)</f>
        <v>1</v>
      </c>
    </row>
    <row r="20" spans="1:25" x14ac:dyDescent="0.55000000000000004">
      <c r="A20" s="10">
        <v>268</v>
      </c>
      <c r="B20" s="10" t="s">
        <v>54</v>
      </c>
      <c r="C20" s="10">
        <f>VLOOKUP($A20,'SAS Data'!$1:$1048576,MATCH(C$1,'SAS Data'!$3:$3,0),FALSE)</f>
        <v>3</v>
      </c>
      <c r="D20" s="10">
        <f>VLOOKUP($A20,'SAS Data'!$1:$1048576,MATCH(D$1,'SAS Data'!$3:$3,0),FALSE)</f>
        <v>0</v>
      </c>
      <c r="E20" s="10">
        <f t="shared" si="1"/>
        <v>3</v>
      </c>
      <c r="F20" s="11">
        <f>VLOOKUP($A20,'SAS Data'!$1:$1048576,MATCH(F$1,'SAS Data'!$3:$3,0),FALSE)</f>
        <v>13.288251618871413</v>
      </c>
      <c r="G20" s="12">
        <f>VLOOKUP($A20,'SAS Data'!$1:$1048576,MATCH(G$1,'SAS Data'!$3:$3,0),FALSE)</f>
        <v>5405</v>
      </c>
      <c r="H20" s="12">
        <f>+Activities_Sample[[#This Row],[Act Cph]]*Activities_Sample[[#This Row],[Act Hrsn]]</f>
        <v>71822.999999999985</v>
      </c>
      <c r="I20" s="10">
        <f>COUNTIF('Act detail'!A:C,A20)</f>
        <v>1</v>
      </c>
      <c r="J20" s="13">
        <v>20.260000000000002</v>
      </c>
      <c r="K20" s="13">
        <v>20.260000000000002</v>
      </c>
      <c r="L20" s="13">
        <v>20.260000000000002</v>
      </c>
      <c r="M20" s="13">
        <v>20.260000000000002</v>
      </c>
      <c r="N20" s="37">
        <f>COUNTIFS('Act detail'!$A:$A,$A20,'Act detail'!$C:$C,"&lt;"&amp;L20)</f>
        <v>0</v>
      </c>
      <c r="O20" s="37">
        <f>COUNTIFS('Act detail'!$A:$A,$A20,'Act detail'!$C:$C,"&lt;"&amp;M20)</f>
        <v>0</v>
      </c>
      <c r="P20" s="37">
        <f>COUNTIFS('Act detail'!A:A,$A20,'Act detail'!$C:$C,"&lt;"&amp;$AC$1)</f>
        <v>1</v>
      </c>
      <c r="Q20" s="37">
        <f>COUNTIFS('Act detail'!A:A,$A20,'Act detail'!$C:$C,"&lt;"&amp;$AC$2)</f>
        <v>0</v>
      </c>
      <c r="R20" s="37">
        <f>COUNTIFS('Act detail'!A:A,$A20,'Act detail'!$C:$C,"&lt;"&amp;$AC$3)</f>
        <v>0</v>
      </c>
      <c r="S20" s="12">
        <f>+Activities_Sample[[#This Row],[Act Aide median]]*Activities_Sample[[#This Row],[Act Hrsn]]</f>
        <v>109505.3</v>
      </c>
      <c r="T20" s="12">
        <f>+Activities_Sample[[#This Row],[Act Aide average]]*Activities_Sample[[#This Row],[Act Hrsn]]</f>
        <v>109505.3</v>
      </c>
      <c r="U20" s="14">
        <f>Activities_Sample[[#This Row],[Est median wage cost ]]/Activities_Sample[[#This Row],[Cost]]</f>
        <v>1.524655054787464</v>
      </c>
      <c r="V20" s="14">
        <f>Activities_Sample[[#This Row],[Est average wage cost]]/Activities_Sample[[#This Row],[Cost]]</f>
        <v>1.524655054787464</v>
      </c>
      <c r="W20" s="14">
        <f>+Activities_Sample[[#This Row],[Act Aide min]]/Activities_Sample[[#This Row],[Act Aide median]]</f>
        <v>1</v>
      </c>
      <c r="X20" s="14">
        <f>+Activities_Sample[[#This Row],[Act Aide max]]/Activities_Sample[[#This Row],[Act Aide median]]</f>
        <v>1</v>
      </c>
      <c r="Y20" s="10">
        <f>VLOOKUP(A20,Summary!$1:$1048576,2,FALSE)</f>
        <v>2</v>
      </c>
    </row>
    <row r="21" spans="1:25" x14ac:dyDescent="0.55000000000000004">
      <c r="A21" s="10">
        <v>277</v>
      </c>
      <c r="B21" s="10" t="s">
        <v>54</v>
      </c>
      <c r="C21" s="10">
        <f>VLOOKUP($A21,'SAS Data'!$1:$1048576,MATCH(C$1,'SAS Data'!$3:$3,0),FALSE)</f>
        <v>4</v>
      </c>
      <c r="D21" s="10">
        <f>VLOOKUP($A21,'SAS Data'!$1:$1048576,MATCH(D$1,'SAS Data'!$3:$3,0),FALSE)</f>
        <v>1</v>
      </c>
      <c r="E21" s="10">
        <f t="shared" si="1"/>
        <v>5</v>
      </c>
      <c r="F21" s="11">
        <f>VLOOKUP($A21,'SAS Data'!$1:$1048576,MATCH(F$1,'SAS Data'!$3:$3,0),FALSE)</f>
        <v>25.704867256637165</v>
      </c>
      <c r="G21" s="12">
        <f>VLOOKUP($A21,'SAS Data'!$1:$1048576,MATCH(G$1,'SAS Data'!$3:$3,0),FALSE)</f>
        <v>6780</v>
      </c>
      <c r="H21" s="12">
        <f>+Activities_Sample[[#This Row],[Act Cph]]*Activities_Sample[[#This Row],[Act Hrsn]]</f>
        <v>174278.99999999997</v>
      </c>
      <c r="I21" s="10">
        <f>COUNTIF('Act detail'!A:C,A21)</f>
        <v>1</v>
      </c>
      <c r="J21" s="13">
        <v>24.58</v>
      </c>
      <c r="K21" s="13">
        <v>24.58</v>
      </c>
      <c r="L21" s="13">
        <v>24.58</v>
      </c>
      <c r="M21" s="13">
        <v>24.58</v>
      </c>
      <c r="N21" s="37">
        <f>COUNTIFS('Act detail'!$A:$A,$A21,'Act detail'!$C:$C,"&lt;"&amp;L21)</f>
        <v>0</v>
      </c>
      <c r="O21" s="37">
        <f>COUNTIFS('Act detail'!$A:$A,$A21,'Act detail'!$C:$C,"&lt;"&amp;M21)</f>
        <v>0</v>
      </c>
      <c r="P21" s="37">
        <f>COUNTIFS('Act detail'!A:A,$A21,'Act detail'!$C:$C,"&lt;"&amp;$AC$1)</f>
        <v>1</v>
      </c>
      <c r="Q21" s="37">
        <f>COUNTIFS('Act detail'!A:A,$A21,'Act detail'!$C:$C,"&lt;"&amp;$AC$2)</f>
        <v>0</v>
      </c>
      <c r="R21" s="37">
        <f>COUNTIFS('Act detail'!A:A,$A21,'Act detail'!$C:$C,"&lt;"&amp;$AC$3)</f>
        <v>0</v>
      </c>
      <c r="S21" s="12">
        <f>+Activities_Sample[[#This Row],[Act Aide median]]*Activities_Sample[[#This Row],[Act Hrsn]]</f>
        <v>166652.4</v>
      </c>
      <c r="T21" s="12">
        <f>+Activities_Sample[[#This Row],[Act Aide average]]*Activities_Sample[[#This Row],[Act Hrsn]]</f>
        <v>166652.4</v>
      </c>
      <c r="U21" s="14">
        <f>Activities_Sample[[#This Row],[Est median wage cost ]]/Activities_Sample[[#This Row],[Cost]]</f>
        <v>0.95623913380269576</v>
      </c>
      <c r="V21" s="14">
        <f>Activities_Sample[[#This Row],[Est average wage cost]]/Activities_Sample[[#This Row],[Cost]]</f>
        <v>0.95623913380269576</v>
      </c>
      <c r="W21" s="14">
        <f>+Activities_Sample[[#This Row],[Act Aide min]]/Activities_Sample[[#This Row],[Act Aide median]]</f>
        <v>1</v>
      </c>
      <c r="X21" s="14">
        <f>+Activities_Sample[[#This Row],[Act Aide max]]/Activities_Sample[[#This Row],[Act Aide median]]</f>
        <v>1</v>
      </c>
      <c r="Y21" s="10">
        <f>VLOOKUP(A21,Summary!$1:$1048576,2,FALSE)</f>
        <v>1</v>
      </c>
    </row>
    <row r="22" spans="1:25" x14ac:dyDescent="0.55000000000000004">
      <c r="A22" s="10">
        <v>293</v>
      </c>
      <c r="B22" s="10" t="s">
        <v>54</v>
      </c>
      <c r="C22" s="10">
        <f>VLOOKUP($A22,'SAS Data'!$1:$1048576,MATCH(C$1,'SAS Data'!$3:$3,0),FALSE)</f>
        <v>16</v>
      </c>
      <c r="D22" s="10">
        <f>VLOOKUP($A22,'SAS Data'!$1:$1048576,MATCH(D$1,'SAS Data'!$3:$3,0),FALSE)</f>
        <v>23</v>
      </c>
      <c r="E22" s="10">
        <f t="shared" si="1"/>
        <v>39</v>
      </c>
      <c r="F22" s="11">
        <f>VLOOKUP($A22,'SAS Data'!$1:$1048576,MATCH(F$1,'SAS Data'!$3:$3,0),FALSE)</f>
        <v>17.301142646516773</v>
      </c>
      <c r="G22" s="12">
        <f>VLOOKUP($A22,'SAS Data'!$1:$1048576,MATCH(G$1,'SAS Data'!$3:$3,0),FALSE)</f>
        <v>43408</v>
      </c>
      <c r="H22" s="12">
        <f>+Activities_Sample[[#This Row],[Act Cph]]*Activities_Sample[[#This Row],[Act Hrsn]]</f>
        <v>751008.00000000012</v>
      </c>
      <c r="I22" s="10">
        <f>COUNTIF('Act detail'!A:C,A22)</f>
        <v>39</v>
      </c>
      <c r="J22" s="13">
        <v>13.66</v>
      </c>
      <c r="K22" s="13">
        <v>17.32</v>
      </c>
      <c r="L22" s="13">
        <v>13.93</v>
      </c>
      <c r="M22" s="13">
        <v>14.369487179487177</v>
      </c>
      <c r="N22" s="37">
        <f>COUNTIFS('Act detail'!$A:$A,$A22,'Act detail'!$C:$C,"&lt;"&amp;L22)</f>
        <v>18</v>
      </c>
      <c r="O22" s="37">
        <f>COUNTIFS('Act detail'!$A:$A,$A22,'Act detail'!$C:$C,"&lt;"&amp;M22)</f>
        <v>26</v>
      </c>
      <c r="P22" s="37">
        <f>COUNTIFS('Act detail'!A:A,$A22,'Act detail'!$C:$C,"&lt;"&amp;$AC$1)</f>
        <v>39</v>
      </c>
      <c r="Q22" s="37">
        <f>COUNTIFS('Act detail'!A:A,$A22,'Act detail'!$C:$C,"&lt;"&amp;$AC$2)</f>
        <v>38</v>
      </c>
      <c r="R22" s="37">
        <f>COUNTIFS('Act detail'!A:A,$A22,'Act detail'!$C:$C,"&lt;"&amp;$AC$3)</f>
        <v>39</v>
      </c>
      <c r="S22" s="12">
        <f>+Activities_Sample[[#This Row],[Act Aide median]]*Activities_Sample[[#This Row],[Act Hrsn]]</f>
        <v>604673.43999999994</v>
      </c>
      <c r="T22" s="12">
        <f>+Activities_Sample[[#This Row],[Act Aide average]]*Activities_Sample[[#This Row],[Act Hrsn]]</f>
        <v>623750.6994871794</v>
      </c>
      <c r="U22" s="14">
        <f>Activities_Sample[[#This Row],[Est median wage cost ]]/Activities_Sample[[#This Row],[Cost]]</f>
        <v>0.80514913289871726</v>
      </c>
      <c r="V22" s="14">
        <f>Activities_Sample[[#This Row],[Est average wage cost]]/Activities_Sample[[#This Row],[Cost]]</f>
        <v>0.83055133831754024</v>
      </c>
      <c r="W22" s="14">
        <f>+Activities_Sample[[#This Row],[Act Aide min]]/Activities_Sample[[#This Row],[Act Aide median]]</f>
        <v>0.98061737257717163</v>
      </c>
      <c r="X22" s="14">
        <f>+Activities_Sample[[#This Row],[Act Aide max]]/Activities_Sample[[#This Row],[Act Aide median]]</f>
        <v>1.2433596554199571</v>
      </c>
      <c r="Y22" s="10">
        <f>VLOOKUP(A22,Summary!$1:$1048576,2,FALSE)</f>
        <v>1</v>
      </c>
    </row>
    <row r="23" spans="1:25" x14ac:dyDescent="0.55000000000000004">
      <c r="A23" s="10">
        <v>313</v>
      </c>
      <c r="B23" s="10" t="s">
        <v>54</v>
      </c>
      <c r="C23" s="10">
        <f>VLOOKUP($A23,'SAS Data'!$1:$1048576,MATCH(C$1,'SAS Data'!$3:$3,0),FALSE)</f>
        <v>2</v>
      </c>
      <c r="D23" s="10">
        <f>VLOOKUP($A23,'SAS Data'!$1:$1048576,MATCH(D$1,'SAS Data'!$3:$3,0),FALSE)</f>
        <v>1</v>
      </c>
      <c r="E23" s="10">
        <f t="shared" si="1"/>
        <v>3</v>
      </c>
      <c r="F23" s="11">
        <f>VLOOKUP($A23,'SAS Data'!$1:$1048576,MATCH(F$1,'SAS Data'!$3:$3,0),FALSE)</f>
        <v>18.516227180527384</v>
      </c>
      <c r="G23" s="12">
        <f>VLOOKUP($A23,'SAS Data'!$1:$1048576,MATCH(G$1,'SAS Data'!$3:$3,0),FALSE)</f>
        <v>3944</v>
      </c>
      <c r="H23" s="12">
        <f>+Activities_Sample[[#This Row],[Act Cph]]*Activities_Sample[[#This Row],[Act Hrsn]]</f>
        <v>73028</v>
      </c>
      <c r="I23" s="10">
        <f>COUNTIF('Act detail'!A:C,A23)</f>
        <v>2</v>
      </c>
      <c r="J23" s="13">
        <v>15.06</v>
      </c>
      <c r="K23" s="13">
        <v>16.960100000000001</v>
      </c>
      <c r="L23" s="13">
        <v>16.01005</v>
      </c>
      <c r="M23" s="13">
        <v>16.01005</v>
      </c>
      <c r="N23" s="37">
        <f>COUNTIFS('Act detail'!$A:$A,$A23,'Act detail'!$C:$C,"&lt;"&amp;L23)</f>
        <v>1</v>
      </c>
      <c r="O23" s="37">
        <f>COUNTIFS('Act detail'!$A:$A,$A23,'Act detail'!$C:$C,"&lt;"&amp;M23)</f>
        <v>1</v>
      </c>
      <c r="P23" s="37">
        <f>COUNTIFS('Act detail'!A:A,$A23,'Act detail'!$C:$C,"&lt;"&amp;$AC$1)</f>
        <v>2</v>
      </c>
      <c r="Q23" s="37">
        <f>COUNTIFS('Act detail'!A:A,$A23,'Act detail'!$C:$C,"&lt;"&amp;$AC$2)</f>
        <v>2</v>
      </c>
      <c r="R23" s="37">
        <f>COUNTIFS('Act detail'!A:A,$A23,'Act detail'!$C:$C,"&lt;"&amp;$AC$3)</f>
        <v>2</v>
      </c>
      <c r="S23" s="12">
        <f>+Activities_Sample[[#This Row],[Act Aide median]]*Activities_Sample[[#This Row],[Act Hrsn]]</f>
        <v>63143.637199999997</v>
      </c>
      <c r="T23" s="12">
        <f>+Activities_Sample[[#This Row],[Act Aide average]]*Activities_Sample[[#This Row],[Act Hrsn]]</f>
        <v>63143.637199999997</v>
      </c>
      <c r="U23" s="14">
        <f>Activities_Sample[[#This Row],[Est median wage cost ]]/Activities_Sample[[#This Row],[Cost]]</f>
        <v>0.86464968505230866</v>
      </c>
      <c r="V23" s="14">
        <f>Activities_Sample[[#This Row],[Est average wage cost]]/Activities_Sample[[#This Row],[Cost]]</f>
        <v>0.86464968505230866</v>
      </c>
      <c r="W23" s="14">
        <f>+Activities_Sample[[#This Row],[Act Aide min]]/Activities_Sample[[#This Row],[Act Aide median]]</f>
        <v>0.94065914847236587</v>
      </c>
      <c r="X23" s="14">
        <f>+Activities_Sample[[#This Row],[Act Aide max]]/Activities_Sample[[#This Row],[Act Aide median]]</f>
        <v>1.0593408515276344</v>
      </c>
      <c r="Y23" s="10">
        <f>VLOOKUP(A23,Summary!$1:$1048576,2,FALSE)</f>
        <v>2</v>
      </c>
    </row>
    <row r="24" spans="1:25" x14ac:dyDescent="0.55000000000000004">
      <c r="A24" s="10">
        <v>315</v>
      </c>
      <c r="B24" s="10" t="s">
        <v>54</v>
      </c>
      <c r="C24" s="10">
        <f>VLOOKUP($A24,'SAS Data'!$1:$1048576,MATCH(C$1,'SAS Data'!$3:$3,0),FALSE)</f>
        <v>2</v>
      </c>
      <c r="D24" s="10">
        <f>VLOOKUP($A24,'SAS Data'!$1:$1048576,MATCH(D$1,'SAS Data'!$3:$3,0),FALSE)</f>
        <v>5</v>
      </c>
      <c r="E24" s="10">
        <f t="shared" si="1"/>
        <v>7</v>
      </c>
      <c r="F24" s="11">
        <f>VLOOKUP($A24,'SAS Data'!$1:$1048576,MATCH(F$1,'SAS Data'!$3:$3,0),FALSE)</f>
        <v>27.247087980173482</v>
      </c>
      <c r="G24" s="12">
        <f>VLOOKUP($A24,'SAS Data'!$1:$1048576,MATCH(G$1,'SAS Data'!$3:$3,0),FALSE)</f>
        <v>8070</v>
      </c>
      <c r="H24" s="12">
        <f>+Activities_Sample[[#This Row],[Act Cph]]*Activities_Sample[[#This Row],[Act Hrsn]]</f>
        <v>219884</v>
      </c>
      <c r="I24" s="10">
        <f>COUNTIF('Act detail'!A:C,A24)</f>
        <v>4</v>
      </c>
      <c r="J24" s="13">
        <v>22.46</v>
      </c>
      <c r="K24" s="13">
        <v>25.9</v>
      </c>
      <c r="L24" s="13">
        <v>23.759999999999998</v>
      </c>
      <c r="M24" s="13">
        <v>23.97</v>
      </c>
      <c r="N24" s="37">
        <f>COUNTIFS('Act detail'!$A:$A,$A24,'Act detail'!$C:$C,"&lt;"&amp;L24)</f>
        <v>2</v>
      </c>
      <c r="O24" s="37">
        <f>COUNTIFS('Act detail'!$A:$A,$A24,'Act detail'!$C:$C,"&lt;"&amp;M24)</f>
        <v>2</v>
      </c>
      <c r="P24" s="37">
        <f>COUNTIFS('Act detail'!A:A,$A24,'Act detail'!$C:$C,"&lt;"&amp;$AC$1)</f>
        <v>3</v>
      </c>
      <c r="Q24" s="37">
        <f>COUNTIFS('Act detail'!A:A,$A24,'Act detail'!$C:$C,"&lt;"&amp;$AC$2)</f>
        <v>0</v>
      </c>
      <c r="R24" s="37">
        <f>COUNTIFS('Act detail'!A:A,$A24,'Act detail'!$C:$C,"&lt;"&amp;$AC$3)</f>
        <v>0</v>
      </c>
      <c r="S24" s="12">
        <f>+Activities_Sample[[#This Row],[Act Aide median]]*Activities_Sample[[#This Row],[Act Hrsn]]</f>
        <v>191743.19999999998</v>
      </c>
      <c r="T24" s="12">
        <f>+Activities_Sample[[#This Row],[Act Aide average]]*Activities_Sample[[#This Row],[Act Hrsn]]</f>
        <v>193437.9</v>
      </c>
      <c r="U24" s="14">
        <f>Activities_Sample[[#This Row],[Est median wage cost ]]/Activities_Sample[[#This Row],[Cost]]</f>
        <v>0.87201979225409754</v>
      </c>
      <c r="V24" s="14">
        <f>Activities_Sample[[#This Row],[Est average wage cost]]/Activities_Sample[[#This Row],[Cost]]</f>
        <v>0.87972703789270701</v>
      </c>
      <c r="W24" s="14">
        <f>+Activities_Sample[[#This Row],[Act Aide min]]/Activities_Sample[[#This Row],[Act Aide median]]</f>
        <v>0.9452861952861954</v>
      </c>
      <c r="X24" s="14">
        <f>+Activities_Sample[[#This Row],[Act Aide max]]/Activities_Sample[[#This Row],[Act Aide median]]</f>
        <v>1.0900673400673402</v>
      </c>
      <c r="Y24" s="10">
        <f>VLOOKUP(A24,Summary!$1:$1048576,2,FALSE)</f>
        <v>2</v>
      </c>
    </row>
    <row r="25" spans="1:25" x14ac:dyDescent="0.55000000000000004">
      <c r="A25" s="10">
        <v>316</v>
      </c>
      <c r="B25" s="10" t="s">
        <v>54</v>
      </c>
      <c r="C25" s="10">
        <f>VLOOKUP($A25,'SAS Data'!$1:$1048576,MATCH(C$1,'SAS Data'!$3:$3,0),FALSE)</f>
        <v>3</v>
      </c>
      <c r="D25" s="10">
        <f>VLOOKUP($A25,'SAS Data'!$1:$1048576,MATCH(D$1,'SAS Data'!$3:$3,0),FALSE)</f>
        <v>0</v>
      </c>
      <c r="E25" s="10">
        <f t="shared" si="1"/>
        <v>3</v>
      </c>
      <c r="F25" s="11">
        <f>VLOOKUP($A25,'SAS Data'!$1:$1048576,MATCH(F$1,'SAS Data'!$3:$3,0),FALSE)</f>
        <v>19.696853973449716</v>
      </c>
      <c r="G25" s="12">
        <f>VLOOKUP($A25,'SAS Data'!$1:$1048576,MATCH(G$1,'SAS Data'!$3:$3,0),FALSE)</f>
        <v>5499</v>
      </c>
      <c r="H25" s="12">
        <f>+Activities_Sample[[#This Row],[Act Cph]]*Activities_Sample[[#This Row],[Act Hrsn]]</f>
        <v>108312.99999999999</v>
      </c>
      <c r="I25" s="10">
        <f>COUNTIF('Act detail'!A:C,A25)</f>
        <v>2</v>
      </c>
      <c r="J25" s="13">
        <v>16.64</v>
      </c>
      <c r="K25" s="13">
        <v>18</v>
      </c>
      <c r="L25" s="13">
        <v>17.32</v>
      </c>
      <c r="M25" s="13">
        <v>17.32</v>
      </c>
      <c r="N25" s="37">
        <f>COUNTIFS('Act detail'!$A:$A,$A25,'Act detail'!$C:$C,"&lt;"&amp;L25)</f>
        <v>1</v>
      </c>
      <c r="O25" s="37">
        <f>COUNTIFS('Act detail'!$A:$A,$A25,'Act detail'!$C:$C,"&lt;"&amp;M25)</f>
        <v>1</v>
      </c>
      <c r="P25" s="37">
        <f>COUNTIFS('Act detail'!A:A,$A25,'Act detail'!$C:$C,"&lt;"&amp;$AC$1)</f>
        <v>2</v>
      </c>
      <c r="Q25" s="37">
        <f>COUNTIFS('Act detail'!A:A,$A25,'Act detail'!$C:$C,"&lt;"&amp;$AC$2)</f>
        <v>1</v>
      </c>
      <c r="R25" s="37">
        <f>COUNTIFS('Act detail'!A:A,$A25,'Act detail'!$C:$C,"&lt;"&amp;$AC$3)</f>
        <v>1</v>
      </c>
      <c r="S25" s="12">
        <f>+Activities_Sample[[#This Row],[Act Aide median]]*Activities_Sample[[#This Row],[Act Hrsn]]</f>
        <v>95242.680000000008</v>
      </c>
      <c r="T25" s="12">
        <f>+Activities_Sample[[#This Row],[Act Aide average]]*Activities_Sample[[#This Row],[Act Hrsn]]</f>
        <v>95242.680000000008</v>
      </c>
      <c r="U25" s="14">
        <f>Activities_Sample[[#This Row],[Est median wage cost ]]/Activities_Sample[[#This Row],[Cost]]</f>
        <v>0.8793282431471755</v>
      </c>
      <c r="V25" s="14">
        <f>Activities_Sample[[#This Row],[Est average wage cost]]/Activities_Sample[[#This Row],[Cost]]</f>
        <v>0.8793282431471755</v>
      </c>
      <c r="W25" s="14">
        <f>+Activities_Sample[[#This Row],[Act Aide min]]/Activities_Sample[[#This Row],[Act Aide median]]</f>
        <v>0.96073903002309469</v>
      </c>
      <c r="X25" s="14">
        <f>+Activities_Sample[[#This Row],[Act Aide max]]/Activities_Sample[[#This Row],[Act Aide median]]</f>
        <v>1.0392609699769053</v>
      </c>
      <c r="Y25" s="10">
        <f>VLOOKUP(A25,Summary!$1:$1048576,2,FALSE)</f>
        <v>3</v>
      </c>
    </row>
    <row r="26" spans="1:25" x14ac:dyDescent="0.55000000000000004">
      <c r="A26" s="10">
        <v>318</v>
      </c>
      <c r="B26" s="10" t="s">
        <v>54</v>
      </c>
      <c r="C26" s="10">
        <f>VLOOKUP($A26,'SAS Data'!$1:$1048576,MATCH(C$1,'SAS Data'!$3:$3,0),FALSE)</f>
        <v>4</v>
      </c>
      <c r="D26" s="10">
        <f>VLOOKUP($A26,'SAS Data'!$1:$1048576,MATCH(D$1,'SAS Data'!$3:$3,0),FALSE)</f>
        <v>4</v>
      </c>
      <c r="E26" s="10">
        <f t="shared" si="1"/>
        <v>8</v>
      </c>
      <c r="F26" s="11">
        <f>VLOOKUP($A26,'SAS Data'!$1:$1048576,MATCH(F$1,'SAS Data'!$3:$3,0),FALSE)</f>
        <v>21.684003259098318</v>
      </c>
      <c r="G26" s="12">
        <f>VLOOKUP($A26,'SAS Data'!$1:$1048576,MATCH(G$1,'SAS Data'!$3:$3,0),FALSE)</f>
        <v>7364</v>
      </c>
      <c r="H26" s="12">
        <f>+Activities_Sample[[#This Row],[Act Cph]]*Activities_Sample[[#This Row],[Act Hrsn]]</f>
        <v>159681.00000000003</v>
      </c>
      <c r="I26" s="10">
        <f>COUNTIF('Act detail'!A:C,A26)</f>
        <v>5</v>
      </c>
      <c r="J26" s="13">
        <v>15</v>
      </c>
      <c r="K26" s="13">
        <v>16.5</v>
      </c>
      <c r="L26" s="13">
        <v>15.72</v>
      </c>
      <c r="M26" s="13">
        <v>15.681999999999999</v>
      </c>
      <c r="N26" s="37">
        <f>COUNTIFS('Act detail'!$A:$A,$A26,'Act detail'!$C:$C,"&lt;"&amp;L26)</f>
        <v>2</v>
      </c>
      <c r="O26" s="37">
        <f>COUNTIFS('Act detail'!$A:$A,$A26,'Act detail'!$C:$C,"&lt;"&amp;M26)</f>
        <v>2</v>
      </c>
      <c r="P26" s="37">
        <f>COUNTIFS('Act detail'!A:A,$A26,'Act detail'!$C:$C,"&lt;"&amp;$AC$1)</f>
        <v>5</v>
      </c>
      <c r="Q26" s="37">
        <f>COUNTIFS('Act detail'!A:A,$A26,'Act detail'!$C:$C,"&lt;"&amp;$AC$2)</f>
        <v>5</v>
      </c>
      <c r="R26" s="37">
        <f>COUNTIFS('Act detail'!A:A,$A26,'Act detail'!$C:$C,"&lt;"&amp;$AC$3)</f>
        <v>5</v>
      </c>
      <c r="S26" s="12">
        <f>+Activities_Sample[[#This Row],[Act Aide median]]*Activities_Sample[[#This Row],[Act Hrsn]]</f>
        <v>115762.08</v>
      </c>
      <c r="T26" s="12">
        <f>+Activities_Sample[[#This Row],[Act Aide average]]*Activities_Sample[[#This Row],[Act Hrsn]]</f>
        <v>115482.24799999999</v>
      </c>
      <c r="U26" s="14">
        <f>Activities_Sample[[#This Row],[Est median wage cost ]]/Activities_Sample[[#This Row],[Cost]]</f>
        <v>0.72495838578165206</v>
      </c>
      <c r="V26" s="14">
        <f>Activities_Sample[[#This Row],[Est average wage cost]]/Activities_Sample[[#This Row],[Cost]]</f>
        <v>0.7232059418465564</v>
      </c>
      <c r="W26" s="14">
        <f>+Activities_Sample[[#This Row],[Act Aide min]]/Activities_Sample[[#This Row],[Act Aide median]]</f>
        <v>0.95419847328244267</v>
      </c>
      <c r="X26" s="14">
        <f>+Activities_Sample[[#This Row],[Act Aide max]]/Activities_Sample[[#This Row],[Act Aide median]]</f>
        <v>1.0496183206106871</v>
      </c>
      <c r="Y26" s="10">
        <f>VLOOKUP(A26,Summary!$1:$1048576,2,FALSE)</f>
        <v>2</v>
      </c>
    </row>
    <row r="27" spans="1:25" x14ac:dyDescent="0.55000000000000004">
      <c r="A27" s="10">
        <v>319</v>
      </c>
      <c r="B27" s="10" t="s">
        <v>54</v>
      </c>
      <c r="C27" s="10">
        <f>VLOOKUP($A27,'SAS Data'!$1:$1048576,MATCH(C$1,'SAS Data'!$3:$3,0),FALSE)</f>
        <v>3</v>
      </c>
      <c r="D27" s="10">
        <f>VLOOKUP($A27,'SAS Data'!$1:$1048576,MATCH(D$1,'SAS Data'!$3:$3,0),FALSE)</f>
        <v>0</v>
      </c>
      <c r="E27" s="10">
        <f t="shared" si="1"/>
        <v>3</v>
      </c>
      <c r="F27" s="11">
        <f>VLOOKUP($A27,'SAS Data'!$1:$1048576,MATCH(F$1,'SAS Data'!$3:$3,0),FALSE)</f>
        <v>22.011995269471196</v>
      </c>
      <c r="G27" s="12">
        <f>VLOOKUP($A27,'SAS Data'!$1:$1048576,MATCH(G$1,'SAS Data'!$3:$3,0),FALSE)</f>
        <v>5919</v>
      </c>
      <c r="H27" s="12">
        <f>+Activities_Sample[[#This Row],[Act Cph]]*Activities_Sample[[#This Row],[Act Hrsn]]</f>
        <v>130289.00000000001</v>
      </c>
      <c r="I27" s="10">
        <f>COUNTIF('Act detail'!A:C,A27)</f>
        <v>1</v>
      </c>
      <c r="J27" s="13">
        <v>20</v>
      </c>
      <c r="K27" s="13">
        <v>20</v>
      </c>
      <c r="L27" s="13">
        <v>20</v>
      </c>
      <c r="M27" s="13">
        <v>20</v>
      </c>
      <c r="N27" s="37">
        <f>COUNTIFS('Act detail'!$A:$A,$A27,'Act detail'!$C:$C,"&lt;"&amp;L27)</f>
        <v>0</v>
      </c>
      <c r="O27" s="37">
        <f>COUNTIFS('Act detail'!$A:$A,$A27,'Act detail'!$C:$C,"&lt;"&amp;M27)</f>
        <v>0</v>
      </c>
      <c r="P27" s="37">
        <f>COUNTIFS('Act detail'!A:A,$A27,'Act detail'!$C:$C,"&lt;"&amp;$AC$1)</f>
        <v>1</v>
      </c>
      <c r="Q27" s="37">
        <f>COUNTIFS('Act detail'!A:A,$A27,'Act detail'!$C:$C,"&lt;"&amp;$AC$2)</f>
        <v>0</v>
      </c>
      <c r="R27" s="37">
        <f>COUNTIFS('Act detail'!A:A,$A27,'Act detail'!$C:$C,"&lt;"&amp;$AC$3)</f>
        <v>0</v>
      </c>
      <c r="S27" s="12">
        <f>+Activities_Sample[[#This Row],[Act Aide median]]*Activities_Sample[[#This Row],[Act Hrsn]]</f>
        <v>118380</v>
      </c>
      <c r="T27" s="12">
        <f>+Activities_Sample[[#This Row],[Act Aide average]]*Activities_Sample[[#This Row],[Act Hrsn]]</f>
        <v>118380</v>
      </c>
      <c r="U27" s="14">
        <f>Activities_Sample[[#This Row],[Est median wage cost ]]/Activities_Sample[[#This Row],[Cost]]</f>
        <v>0.9085955069115581</v>
      </c>
      <c r="V27" s="14">
        <f>Activities_Sample[[#This Row],[Est average wage cost]]/Activities_Sample[[#This Row],[Cost]]</f>
        <v>0.9085955069115581</v>
      </c>
      <c r="W27" s="14">
        <f>+Activities_Sample[[#This Row],[Act Aide min]]/Activities_Sample[[#This Row],[Act Aide median]]</f>
        <v>1</v>
      </c>
      <c r="X27" s="14">
        <f>+Activities_Sample[[#This Row],[Act Aide max]]/Activities_Sample[[#This Row],[Act Aide median]]</f>
        <v>1</v>
      </c>
      <c r="Y27" s="10">
        <f>VLOOKUP(A27,Summary!$1:$1048576,2,FALSE)</f>
        <v>3</v>
      </c>
    </row>
    <row r="28" spans="1:25" x14ac:dyDescent="0.55000000000000004">
      <c r="A28" s="10">
        <v>336</v>
      </c>
      <c r="B28" s="10" t="s">
        <v>54</v>
      </c>
      <c r="C28" s="10">
        <f>VLOOKUP($A28,'SAS Data'!$1:$1048576,MATCH(C$1,'SAS Data'!$3:$3,0),FALSE)</f>
        <v>1</v>
      </c>
      <c r="D28" s="10">
        <f>VLOOKUP($A28,'SAS Data'!$1:$1048576,MATCH(D$1,'SAS Data'!$3:$3,0),FALSE)</f>
        <v>2</v>
      </c>
      <c r="E28" s="10">
        <f t="shared" si="1"/>
        <v>3</v>
      </c>
      <c r="F28" s="11">
        <f>VLOOKUP($A28,'SAS Data'!$1:$1048576,MATCH(F$1,'SAS Data'!$3:$3,0),FALSE)</f>
        <v>21.640121438580103</v>
      </c>
      <c r="G28" s="12">
        <f>VLOOKUP($A28,'SAS Data'!$1:$1048576,MATCH(G$1,'SAS Data'!$3:$3,0),FALSE)</f>
        <v>4282</v>
      </c>
      <c r="H28" s="12">
        <f>+Activities_Sample[[#This Row],[Act Cph]]*Activities_Sample[[#This Row],[Act Hrsn]]</f>
        <v>92663</v>
      </c>
      <c r="I28" s="10">
        <f>COUNTIF('Act detail'!A:C,A28)</f>
        <v>2</v>
      </c>
      <c r="J28" s="13">
        <v>17.95</v>
      </c>
      <c r="K28" s="13">
        <v>19.89</v>
      </c>
      <c r="L28" s="13">
        <v>18.920000000000002</v>
      </c>
      <c r="M28" s="13">
        <v>18.920000000000002</v>
      </c>
      <c r="N28" s="37">
        <f>COUNTIFS('Act detail'!$A:$A,$A28,'Act detail'!$C:$C,"&lt;"&amp;L28)</f>
        <v>1</v>
      </c>
      <c r="O28" s="37">
        <f>COUNTIFS('Act detail'!$A:$A,$A28,'Act detail'!$C:$C,"&lt;"&amp;M28)</f>
        <v>1</v>
      </c>
      <c r="P28" s="37">
        <f>COUNTIFS('Act detail'!A:A,$A28,'Act detail'!$C:$C,"&lt;"&amp;$AC$1)</f>
        <v>2</v>
      </c>
      <c r="Q28" s="37">
        <f>COUNTIFS('Act detail'!A:A,$A28,'Act detail'!$C:$C,"&lt;"&amp;$AC$2)</f>
        <v>0</v>
      </c>
      <c r="R28" s="37">
        <f>COUNTIFS('Act detail'!A:A,$A28,'Act detail'!$C:$C,"&lt;"&amp;$AC$3)</f>
        <v>0</v>
      </c>
      <c r="S28" s="12">
        <f>+Activities_Sample[[#This Row],[Act Aide median]]*Activities_Sample[[#This Row],[Act Hrsn]]</f>
        <v>81015.44</v>
      </c>
      <c r="T28" s="12">
        <f>+Activities_Sample[[#This Row],[Act Aide average]]*Activities_Sample[[#This Row],[Act Hrsn]]</f>
        <v>81015.44</v>
      </c>
      <c r="U28" s="14">
        <f>Activities_Sample[[#This Row],[Est median wage cost ]]/Activities_Sample[[#This Row],[Cost]]</f>
        <v>0.87430193281029112</v>
      </c>
      <c r="V28" s="14">
        <f>Activities_Sample[[#This Row],[Est average wage cost]]/Activities_Sample[[#This Row],[Cost]]</f>
        <v>0.87430193281029112</v>
      </c>
      <c r="W28" s="14">
        <f>+Activities_Sample[[#This Row],[Act Aide min]]/Activities_Sample[[#This Row],[Act Aide median]]</f>
        <v>0.94873150105708237</v>
      </c>
      <c r="X28" s="14">
        <f>+Activities_Sample[[#This Row],[Act Aide max]]/Activities_Sample[[#This Row],[Act Aide median]]</f>
        <v>1.0512684989429175</v>
      </c>
      <c r="Y28" s="10">
        <f>VLOOKUP(A28,Summary!$1:$1048576,2,FALSE)</f>
        <v>1</v>
      </c>
    </row>
    <row r="29" spans="1:25" x14ac:dyDescent="0.55000000000000004">
      <c r="A29" s="10">
        <v>346</v>
      </c>
      <c r="B29" s="10" t="s">
        <v>54</v>
      </c>
      <c r="C29" s="10">
        <f>VLOOKUP($A29,'SAS Data'!$1:$1048576,MATCH(C$1,'SAS Data'!$3:$3,0),FALSE)</f>
        <v>1</v>
      </c>
      <c r="D29" s="10">
        <f>VLOOKUP($A29,'SAS Data'!$1:$1048576,MATCH(D$1,'SAS Data'!$3:$3,0),FALSE)</f>
        <v>1</v>
      </c>
      <c r="E29" s="10">
        <f t="shared" si="1"/>
        <v>2</v>
      </c>
      <c r="F29" s="11">
        <f>VLOOKUP($A29,'SAS Data'!$1:$1048576,MATCH(F$1,'SAS Data'!$3:$3,0),FALSE)</f>
        <v>22.004622941346433</v>
      </c>
      <c r="G29" s="12">
        <f>VLOOKUP($A29,'SAS Data'!$1:$1048576,MATCH(G$1,'SAS Data'!$3:$3,0),FALSE)</f>
        <v>3461</v>
      </c>
      <c r="H29" s="12">
        <f>+Activities_Sample[[#This Row],[Act Cph]]*Activities_Sample[[#This Row],[Act Hrsn]]</f>
        <v>76158</v>
      </c>
      <c r="I29" s="10">
        <f>COUNTIF('Act detail'!A:C,A29)</f>
        <v>1</v>
      </c>
      <c r="J29" s="13">
        <v>18.5</v>
      </c>
      <c r="K29" s="13">
        <v>18.5</v>
      </c>
      <c r="L29" s="13">
        <v>18.5</v>
      </c>
      <c r="M29" s="13">
        <v>18.5</v>
      </c>
      <c r="N29" s="37">
        <f>COUNTIFS('Act detail'!$A:$A,$A29,'Act detail'!$C:$C,"&lt;"&amp;L29)</f>
        <v>0</v>
      </c>
      <c r="O29" s="37">
        <f>COUNTIFS('Act detail'!$A:$A,$A29,'Act detail'!$C:$C,"&lt;"&amp;M29)</f>
        <v>0</v>
      </c>
      <c r="P29" s="37">
        <f>COUNTIFS('Act detail'!A:A,$A29,'Act detail'!$C:$C,"&lt;"&amp;$AC$1)</f>
        <v>1</v>
      </c>
      <c r="Q29" s="37">
        <f>COUNTIFS('Act detail'!A:A,$A29,'Act detail'!$C:$C,"&lt;"&amp;$AC$2)</f>
        <v>0</v>
      </c>
      <c r="R29" s="37">
        <f>COUNTIFS('Act detail'!A:A,$A29,'Act detail'!$C:$C,"&lt;"&amp;$AC$3)</f>
        <v>0</v>
      </c>
      <c r="S29" s="12">
        <f>+Activities_Sample[[#This Row],[Act Aide median]]*Activities_Sample[[#This Row],[Act Hrsn]]</f>
        <v>64028.5</v>
      </c>
      <c r="T29" s="12">
        <f>+Activities_Sample[[#This Row],[Act Aide average]]*Activities_Sample[[#This Row],[Act Hrsn]]</f>
        <v>64028.5</v>
      </c>
      <c r="U29" s="14">
        <f>Activities_Sample[[#This Row],[Est median wage cost ]]/Activities_Sample[[#This Row],[Cost]]</f>
        <v>0.84073242469602671</v>
      </c>
      <c r="V29" s="14">
        <f>Activities_Sample[[#This Row],[Est average wage cost]]/Activities_Sample[[#This Row],[Cost]]</f>
        <v>0.84073242469602671</v>
      </c>
      <c r="W29" s="14">
        <f>+Activities_Sample[[#This Row],[Act Aide min]]/Activities_Sample[[#This Row],[Act Aide median]]</f>
        <v>1</v>
      </c>
      <c r="X29" s="14">
        <f>+Activities_Sample[[#This Row],[Act Aide max]]/Activities_Sample[[#This Row],[Act Aide median]]</f>
        <v>1</v>
      </c>
      <c r="Y29" s="10">
        <f>VLOOKUP(A29,Summary!$1:$1048576,2,FALSE)</f>
        <v>2</v>
      </c>
    </row>
    <row r="30" spans="1:25" x14ac:dyDescent="0.55000000000000004">
      <c r="A30" s="10">
        <v>351</v>
      </c>
      <c r="B30" s="10" t="s">
        <v>54</v>
      </c>
      <c r="C30" s="10">
        <f>VLOOKUP($A30,'SAS Data'!$1:$1048576,MATCH(C$1,'SAS Data'!$3:$3,0),FALSE)</f>
        <v>5</v>
      </c>
      <c r="D30" s="10">
        <f>VLOOKUP($A30,'SAS Data'!$1:$1048576,MATCH(D$1,'SAS Data'!$3:$3,0),FALSE)</f>
        <v>2</v>
      </c>
      <c r="E30" s="10">
        <f t="shared" si="1"/>
        <v>7</v>
      </c>
      <c r="F30" s="11">
        <f>VLOOKUP($A30,'SAS Data'!$1:$1048576,MATCH(F$1,'SAS Data'!$3:$3,0),FALSE)</f>
        <v>20.415085444902768</v>
      </c>
      <c r="G30" s="12">
        <f>VLOOKUP($A30,'SAS Data'!$1:$1048576,MATCH(G$1,'SAS Data'!$3:$3,0),FALSE)</f>
        <v>8485</v>
      </c>
      <c r="H30" s="12">
        <f>+Activities_Sample[[#This Row],[Act Cph]]*Activities_Sample[[#This Row],[Act Hrsn]]</f>
        <v>173222</v>
      </c>
      <c r="I30" s="10">
        <f>COUNTIF('Act detail'!A:C,A30)</f>
        <v>6</v>
      </c>
      <c r="J30" s="13">
        <v>14.42</v>
      </c>
      <c r="K30" s="13">
        <v>18.11</v>
      </c>
      <c r="L30" s="13">
        <v>16.100000000000001</v>
      </c>
      <c r="M30" s="13">
        <v>16.2</v>
      </c>
      <c r="N30" s="37">
        <f>COUNTIFS('Act detail'!$A:$A,$A30,'Act detail'!$C:$C,"&lt;"&amp;L30)</f>
        <v>3</v>
      </c>
      <c r="O30" s="37">
        <f>COUNTIFS('Act detail'!$A:$A,$A30,'Act detail'!$C:$C,"&lt;"&amp;M30)</f>
        <v>3</v>
      </c>
      <c r="P30" s="37">
        <f>COUNTIFS('Act detail'!A:A,$A30,'Act detail'!$C:$C,"&lt;"&amp;$AC$1)</f>
        <v>6</v>
      </c>
      <c r="Q30" s="37">
        <f>COUNTIFS('Act detail'!A:A,$A30,'Act detail'!$C:$C,"&lt;"&amp;$AC$2)</f>
        <v>4</v>
      </c>
      <c r="R30" s="37">
        <f>COUNTIFS('Act detail'!A:A,$A30,'Act detail'!$C:$C,"&lt;"&amp;$AC$3)</f>
        <v>4</v>
      </c>
      <c r="S30" s="12">
        <f>+Activities_Sample[[#This Row],[Act Aide median]]*Activities_Sample[[#This Row],[Act Hrsn]]</f>
        <v>136608.5</v>
      </c>
      <c r="T30" s="12">
        <f>+Activities_Sample[[#This Row],[Act Aide average]]*Activities_Sample[[#This Row],[Act Hrsn]]</f>
        <v>137457</v>
      </c>
      <c r="U30" s="14">
        <f>Activities_Sample[[#This Row],[Est median wage cost ]]/Activities_Sample[[#This Row],[Cost]]</f>
        <v>0.78863250626363857</v>
      </c>
      <c r="V30" s="14">
        <f>Activities_Sample[[#This Row],[Est average wage cost]]/Activities_Sample[[#This Row],[Cost]]</f>
        <v>0.79353084481185987</v>
      </c>
      <c r="W30" s="14">
        <f>+Activities_Sample[[#This Row],[Act Aide min]]/Activities_Sample[[#This Row],[Act Aide median]]</f>
        <v>0.89565217391304341</v>
      </c>
      <c r="X30" s="14">
        <f>+Activities_Sample[[#This Row],[Act Aide max]]/Activities_Sample[[#This Row],[Act Aide median]]</f>
        <v>1.1248447204968943</v>
      </c>
      <c r="Y30" s="10">
        <f>VLOOKUP(A30,Summary!$1:$1048576,2,FALSE)</f>
        <v>2</v>
      </c>
    </row>
    <row r="31" spans="1:25" x14ac:dyDescent="0.55000000000000004">
      <c r="A31" s="10">
        <v>380</v>
      </c>
      <c r="B31" s="10" t="s">
        <v>54</v>
      </c>
      <c r="C31" s="10">
        <f>VLOOKUP($A31,'SAS Data'!$1:$1048576,MATCH(C$1,'SAS Data'!$3:$3,0),FALSE)</f>
        <v>4</v>
      </c>
      <c r="D31" s="10">
        <f>VLOOKUP($A31,'SAS Data'!$1:$1048576,MATCH(D$1,'SAS Data'!$3:$3,0),FALSE)</f>
        <v>1</v>
      </c>
      <c r="E31" s="10">
        <f t="shared" si="1"/>
        <v>5</v>
      </c>
      <c r="F31" s="11">
        <f>VLOOKUP($A31,'SAS Data'!$1:$1048576,MATCH(F$1,'SAS Data'!$3:$3,0),FALSE)</f>
        <v>23.912733748886911</v>
      </c>
      <c r="G31" s="12">
        <f>VLOOKUP($A31,'SAS Data'!$1:$1048576,MATCH(G$1,'SAS Data'!$3:$3,0),FALSE)</f>
        <v>8984</v>
      </c>
      <c r="H31" s="12">
        <f>+Activities_Sample[[#This Row],[Act Cph]]*Activities_Sample[[#This Row],[Act Hrsn]]</f>
        <v>214832</v>
      </c>
      <c r="I31" s="10">
        <f>COUNTIF('Act detail'!A:C,A31)</f>
        <v>5</v>
      </c>
      <c r="J31" s="13">
        <v>20.99</v>
      </c>
      <c r="K31" s="13">
        <v>25.58</v>
      </c>
      <c r="L31" s="13">
        <v>24.33</v>
      </c>
      <c r="M31" s="13">
        <v>23.297999999999995</v>
      </c>
      <c r="N31" s="37">
        <f>COUNTIFS('Act detail'!$A:$A,$A31,'Act detail'!$C:$C,"&lt;"&amp;L31)</f>
        <v>2</v>
      </c>
      <c r="O31" s="37">
        <f>COUNTIFS('Act detail'!$A:$A,$A31,'Act detail'!$C:$C,"&lt;"&amp;M31)</f>
        <v>2</v>
      </c>
      <c r="P31" s="37">
        <f>COUNTIFS('Act detail'!A:A,$A31,'Act detail'!$C:$C,"&lt;"&amp;$AC$1)</f>
        <v>4</v>
      </c>
      <c r="Q31" s="37">
        <f>COUNTIFS('Act detail'!A:A,$A31,'Act detail'!$C:$C,"&lt;"&amp;$AC$2)</f>
        <v>0</v>
      </c>
      <c r="R31" s="37">
        <f>COUNTIFS('Act detail'!A:A,$A31,'Act detail'!$C:$C,"&lt;"&amp;$AC$3)</f>
        <v>0</v>
      </c>
      <c r="S31" s="12">
        <f>+Activities_Sample[[#This Row],[Act Aide median]]*Activities_Sample[[#This Row],[Act Hrsn]]</f>
        <v>218580.71999999997</v>
      </c>
      <c r="T31" s="12">
        <f>+Activities_Sample[[#This Row],[Act Aide average]]*Activities_Sample[[#This Row],[Act Hrsn]]</f>
        <v>209309.23199999996</v>
      </c>
      <c r="U31" s="14">
        <f>Activities_Sample[[#This Row],[Est median wage cost ]]/Activities_Sample[[#This Row],[Cost]]</f>
        <v>1.017449541967677</v>
      </c>
      <c r="V31" s="14">
        <f>Activities_Sample[[#This Row],[Est average wage cost]]/Activities_Sample[[#This Row],[Cost]]</f>
        <v>0.97429261934907263</v>
      </c>
      <c r="W31" s="14">
        <f>+Activities_Sample[[#This Row],[Act Aide min]]/Activities_Sample[[#This Row],[Act Aide median]]</f>
        <v>0.86272092067406492</v>
      </c>
      <c r="X31" s="14">
        <f>+Activities_Sample[[#This Row],[Act Aide max]]/Activities_Sample[[#This Row],[Act Aide median]]</f>
        <v>1.0513769009453351</v>
      </c>
      <c r="Y31" s="10">
        <f>VLOOKUP(A31,Summary!$1:$1048576,2,FALSE)</f>
        <v>3</v>
      </c>
    </row>
    <row r="32" spans="1:25" x14ac:dyDescent="0.55000000000000004">
      <c r="A32" s="10">
        <v>382</v>
      </c>
      <c r="B32" s="10" t="s">
        <v>54</v>
      </c>
      <c r="C32" s="10">
        <f>VLOOKUP($A32,'SAS Data'!$1:$1048576,MATCH(C$1,'SAS Data'!$3:$3,0),FALSE)</f>
        <v>4</v>
      </c>
      <c r="D32" s="10">
        <f>VLOOKUP($A32,'SAS Data'!$1:$1048576,MATCH(D$1,'SAS Data'!$3:$3,0),FALSE)</f>
        <v>3</v>
      </c>
      <c r="E32" s="10">
        <f t="shared" si="1"/>
        <v>7</v>
      </c>
      <c r="F32" s="11">
        <f>VLOOKUP($A32,'SAS Data'!$1:$1048576,MATCH(F$1,'SAS Data'!$3:$3,0),FALSE)</f>
        <v>18.908326521079061</v>
      </c>
      <c r="G32" s="12">
        <f>VLOOKUP($A32,'SAS Data'!$1:$1048576,MATCH(G$1,'SAS Data'!$3:$3,0),FALSE)</f>
        <v>8563</v>
      </c>
      <c r="H32" s="12">
        <f>+Activities_Sample[[#This Row],[Act Cph]]*Activities_Sample[[#This Row],[Act Hrsn]]</f>
        <v>161912</v>
      </c>
      <c r="I32" s="10">
        <f>COUNTIF('Act detail'!A:C,A32)</f>
        <v>6</v>
      </c>
      <c r="J32" s="13">
        <v>16.52</v>
      </c>
      <c r="K32" s="13">
        <v>20.59</v>
      </c>
      <c r="L32" s="13">
        <v>18.740000000000002</v>
      </c>
      <c r="M32" s="13">
        <v>18.640000000000004</v>
      </c>
      <c r="N32" s="37">
        <f>COUNTIFS('Act detail'!$A:$A,$A32,'Act detail'!$C:$C,"&lt;"&amp;L32)</f>
        <v>3</v>
      </c>
      <c r="O32" s="37">
        <f>COUNTIFS('Act detail'!$A:$A,$A32,'Act detail'!$C:$C,"&lt;"&amp;M32)</f>
        <v>3</v>
      </c>
      <c r="P32" s="37">
        <f>COUNTIFS('Act detail'!A:A,$A32,'Act detail'!$C:$C,"&lt;"&amp;$AC$1)</f>
        <v>6</v>
      </c>
      <c r="Q32" s="37">
        <f>COUNTIFS('Act detail'!A:A,$A32,'Act detail'!$C:$C,"&lt;"&amp;$AC$2)</f>
        <v>2</v>
      </c>
      <c r="R32" s="37">
        <f>COUNTIFS('Act detail'!A:A,$A32,'Act detail'!$C:$C,"&lt;"&amp;$AC$3)</f>
        <v>2</v>
      </c>
      <c r="S32" s="12">
        <f>+Activities_Sample[[#This Row],[Act Aide median]]*Activities_Sample[[#This Row],[Act Hrsn]]</f>
        <v>160470.62000000002</v>
      </c>
      <c r="T32" s="12">
        <f>+Activities_Sample[[#This Row],[Act Aide average]]*Activities_Sample[[#This Row],[Act Hrsn]]</f>
        <v>159614.32000000004</v>
      </c>
      <c r="U32" s="14">
        <f>Activities_Sample[[#This Row],[Est median wage cost ]]/Activities_Sample[[#This Row],[Cost]]</f>
        <v>0.99109775680616652</v>
      </c>
      <c r="V32" s="14">
        <f>Activities_Sample[[#This Row],[Est average wage cost]]/Activities_Sample[[#This Row],[Cost]]</f>
        <v>0.98580908147635771</v>
      </c>
      <c r="W32" s="14">
        <f>+Activities_Sample[[#This Row],[Act Aide min]]/Activities_Sample[[#This Row],[Act Aide median]]</f>
        <v>0.8815368196371397</v>
      </c>
      <c r="X32" s="14">
        <f>+Activities_Sample[[#This Row],[Act Aide max]]/Activities_Sample[[#This Row],[Act Aide median]]</f>
        <v>1.0987193169690501</v>
      </c>
      <c r="Y32" s="10">
        <f>VLOOKUP(A32,Summary!$1:$1048576,2,FALSE)</f>
        <v>2</v>
      </c>
    </row>
    <row r="33" spans="1:25" x14ac:dyDescent="0.55000000000000004">
      <c r="A33" s="10">
        <v>385</v>
      </c>
      <c r="B33" s="10" t="s">
        <v>54</v>
      </c>
      <c r="C33" s="10">
        <f>VLOOKUP($A33,'SAS Data'!$1:$1048576,MATCH(C$1,'SAS Data'!$3:$3,0),FALSE)</f>
        <v>3</v>
      </c>
      <c r="D33" s="10">
        <f>VLOOKUP($A33,'SAS Data'!$1:$1048576,MATCH(D$1,'SAS Data'!$3:$3,0),FALSE)</f>
        <v>2</v>
      </c>
      <c r="E33" s="10">
        <f t="shared" si="1"/>
        <v>5</v>
      </c>
      <c r="F33" s="11">
        <f>VLOOKUP($A33,'SAS Data'!$1:$1048576,MATCH(F$1,'SAS Data'!$3:$3,0),FALSE)</f>
        <v>24.300381194409148</v>
      </c>
      <c r="G33" s="12">
        <f>VLOOKUP($A33,'SAS Data'!$1:$1048576,MATCH(G$1,'SAS Data'!$3:$3,0),FALSE)</f>
        <v>3935</v>
      </c>
      <c r="H33" s="12">
        <f>+Activities_Sample[[#This Row],[Act Cph]]*Activities_Sample[[#This Row],[Act Hrsn]]</f>
        <v>95622</v>
      </c>
      <c r="I33" s="10">
        <f>COUNTIF('Act detail'!A:C,A33)</f>
        <v>6</v>
      </c>
      <c r="J33" s="13">
        <v>15.97</v>
      </c>
      <c r="K33" s="13">
        <v>19.47</v>
      </c>
      <c r="L33" s="13">
        <v>15.97</v>
      </c>
      <c r="M33" s="13">
        <v>16.638333333333332</v>
      </c>
      <c r="N33" s="37">
        <f>COUNTIFS('Act detail'!$A:$A,$A33,'Act detail'!$C:$C,"&lt;"&amp;L33)</f>
        <v>0</v>
      </c>
      <c r="O33" s="37">
        <f>COUNTIFS('Act detail'!$A:$A,$A33,'Act detail'!$C:$C,"&lt;"&amp;M33)</f>
        <v>5</v>
      </c>
      <c r="P33" s="37">
        <f>COUNTIFS('Act detail'!A:A,$A33,'Act detail'!$C:$C,"&lt;"&amp;$AC$1)</f>
        <v>6</v>
      </c>
      <c r="Q33" s="37">
        <f>COUNTIFS('Act detail'!A:A,$A33,'Act detail'!$C:$C,"&lt;"&amp;$AC$2)</f>
        <v>5</v>
      </c>
      <c r="R33" s="37">
        <f>COUNTIFS('Act detail'!A:A,$A33,'Act detail'!$C:$C,"&lt;"&amp;$AC$3)</f>
        <v>5</v>
      </c>
      <c r="S33" s="12">
        <f>+Activities_Sample[[#This Row],[Act Aide median]]*Activities_Sample[[#This Row],[Act Hrsn]]</f>
        <v>62841.950000000004</v>
      </c>
      <c r="T33" s="12">
        <f>+Activities_Sample[[#This Row],[Act Aide average]]*Activities_Sample[[#This Row],[Act Hrsn]]</f>
        <v>65471.84166666666</v>
      </c>
      <c r="U33" s="14">
        <f>Activities_Sample[[#This Row],[Est median wage cost ]]/Activities_Sample[[#This Row],[Cost]]</f>
        <v>0.65719133672167496</v>
      </c>
      <c r="V33" s="14">
        <f>Activities_Sample[[#This Row],[Est average wage cost]]/Activities_Sample[[#This Row],[Cost]]</f>
        <v>0.68469433463707785</v>
      </c>
      <c r="W33" s="14">
        <f>+Activities_Sample[[#This Row],[Act Aide min]]/Activities_Sample[[#This Row],[Act Aide median]]</f>
        <v>1</v>
      </c>
      <c r="X33" s="14">
        <f>+Activities_Sample[[#This Row],[Act Aide max]]/Activities_Sample[[#This Row],[Act Aide median]]</f>
        <v>1.2191609267376329</v>
      </c>
      <c r="Y33" s="10">
        <f>VLOOKUP(A33,Summary!$1:$1048576,2,FALSE)</f>
        <v>2</v>
      </c>
    </row>
    <row r="34" spans="1:25" x14ac:dyDescent="0.55000000000000004">
      <c r="A34" s="10">
        <v>420</v>
      </c>
      <c r="B34" s="10" t="s">
        <v>54</v>
      </c>
      <c r="C34" s="10">
        <f>VLOOKUP($A34,'SAS Data'!$1:$1048576,MATCH(C$1,'SAS Data'!$3:$3,0),FALSE)</f>
        <v>2</v>
      </c>
      <c r="D34" s="10">
        <f>VLOOKUP($A34,'SAS Data'!$1:$1048576,MATCH(D$1,'SAS Data'!$3:$3,0),FALSE)</f>
        <v>1</v>
      </c>
      <c r="E34" s="10">
        <f t="shared" si="1"/>
        <v>3</v>
      </c>
      <c r="F34" s="11">
        <f>VLOOKUP($A34,'SAS Data'!$1:$1048576,MATCH(F$1,'SAS Data'!$3:$3,0),FALSE)</f>
        <v>16.143789427887754</v>
      </c>
      <c r="G34" s="12">
        <f>VLOOKUP($A34,'SAS Data'!$1:$1048576,MATCH(G$1,'SAS Data'!$3:$3,0),FALSE)</f>
        <v>4597</v>
      </c>
      <c r="H34" s="12">
        <f>+Activities_Sample[[#This Row],[Act Cph]]*Activities_Sample[[#This Row],[Act Hrsn]]</f>
        <v>74213</v>
      </c>
      <c r="I34" s="10">
        <f>COUNTIF('Act detail'!A:C,A34)</f>
        <v>2</v>
      </c>
      <c r="J34" s="13">
        <v>13</v>
      </c>
      <c r="K34" s="13">
        <v>13</v>
      </c>
      <c r="L34" s="13">
        <v>13</v>
      </c>
      <c r="M34" s="13">
        <v>13</v>
      </c>
      <c r="N34" s="37">
        <f>COUNTIFS('Act detail'!$A:$A,$A34,'Act detail'!$C:$C,"&lt;"&amp;L34)</f>
        <v>0</v>
      </c>
      <c r="O34" s="37">
        <f>COUNTIFS('Act detail'!$A:$A,$A34,'Act detail'!$C:$C,"&lt;"&amp;M34)</f>
        <v>0</v>
      </c>
      <c r="P34" s="37">
        <f>COUNTIFS('Act detail'!A:A,$A34,'Act detail'!$C:$C,"&lt;"&amp;$AC$1)</f>
        <v>2</v>
      </c>
      <c r="Q34" s="37">
        <f>COUNTIFS('Act detail'!A:A,$A34,'Act detail'!$C:$C,"&lt;"&amp;$AC$2)</f>
        <v>2</v>
      </c>
      <c r="R34" s="37">
        <f>COUNTIFS('Act detail'!A:A,$A34,'Act detail'!$C:$C,"&lt;"&amp;$AC$3)</f>
        <v>2</v>
      </c>
      <c r="S34" s="12">
        <f>+Activities_Sample[[#This Row],[Act Aide median]]*Activities_Sample[[#This Row],[Act Hrsn]]</f>
        <v>59761</v>
      </c>
      <c r="T34" s="12">
        <f>+Activities_Sample[[#This Row],[Act Aide average]]*Activities_Sample[[#This Row],[Act Hrsn]]</f>
        <v>59761</v>
      </c>
      <c r="U34" s="14">
        <f>Activities_Sample[[#This Row],[Est median wage cost ]]/Activities_Sample[[#This Row],[Cost]]</f>
        <v>0.80526322881435863</v>
      </c>
      <c r="V34" s="14">
        <f>Activities_Sample[[#This Row],[Est average wage cost]]/Activities_Sample[[#This Row],[Cost]]</f>
        <v>0.80526322881435863</v>
      </c>
      <c r="W34" s="14">
        <f>+Activities_Sample[[#This Row],[Act Aide min]]/Activities_Sample[[#This Row],[Act Aide median]]</f>
        <v>1</v>
      </c>
      <c r="X34" s="14">
        <f>+Activities_Sample[[#This Row],[Act Aide max]]/Activities_Sample[[#This Row],[Act Aide median]]</f>
        <v>1</v>
      </c>
      <c r="Y34" s="10">
        <f>VLOOKUP(A34,Summary!$1:$1048576,2,FALSE)</f>
        <v>1</v>
      </c>
    </row>
    <row r="35" spans="1:25" x14ac:dyDescent="0.55000000000000004">
      <c r="A35" s="10">
        <v>421</v>
      </c>
      <c r="B35" s="10" t="s">
        <v>54</v>
      </c>
      <c r="C35" s="10">
        <f>VLOOKUP($A35,'SAS Data'!$1:$1048576,MATCH(C$1,'SAS Data'!$3:$3,0),FALSE)</f>
        <v>2</v>
      </c>
      <c r="D35" s="10">
        <f>VLOOKUP($A35,'SAS Data'!$1:$1048576,MATCH(D$1,'SAS Data'!$3:$3,0),FALSE)</f>
        <v>1</v>
      </c>
      <c r="E35" s="10">
        <f t="shared" si="1"/>
        <v>3</v>
      </c>
      <c r="F35" s="11">
        <f>VLOOKUP($A35,'SAS Data'!$1:$1048576,MATCH(F$1,'SAS Data'!$3:$3,0),FALSE)</f>
        <v>13.74000924000924</v>
      </c>
      <c r="G35" s="12">
        <f>VLOOKUP($A35,'SAS Data'!$1:$1048576,MATCH(G$1,'SAS Data'!$3:$3,0),FALSE)</f>
        <v>8658</v>
      </c>
      <c r="H35" s="12">
        <f>+Activities_Sample[[#This Row],[Act Cph]]*Activities_Sample[[#This Row],[Act Hrsn]]</f>
        <v>118961</v>
      </c>
      <c r="I35" s="10">
        <f>COUNTIF('Act detail'!A:C,A35)</f>
        <v>7</v>
      </c>
      <c r="J35" s="13">
        <v>14.06</v>
      </c>
      <c r="K35" s="13">
        <v>17.579999999999998</v>
      </c>
      <c r="L35" s="13">
        <v>15.6</v>
      </c>
      <c r="M35" s="13">
        <v>15.615714285714287</v>
      </c>
      <c r="N35" s="37">
        <f>COUNTIFS('Act detail'!$A:$A,$A35,'Act detail'!$C:$C,"&lt;"&amp;L35)</f>
        <v>3</v>
      </c>
      <c r="O35" s="37">
        <f>COUNTIFS('Act detail'!$A:$A,$A35,'Act detail'!$C:$C,"&lt;"&amp;M35)</f>
        <v>4</v>
      </c>
      <c r="P35" s="37">
        <f>COUNTIFS('Act detail'!A:A,$A35,'Act detail'!$C:$C,"&lt;"&amp;$AC$1)</f>
        <v>7</v>
      </c>
      <c r="Q35" s="37">
        <f>COUNTIFS('Act detail'!A:A,$A35,'Act detail'!$C:$C,"&lt;"&amp;$AC$2)</f>
        <v>6</v>
      </c>
      <c r="R35" s="37">
        <f>COUNTIFS('Act detail'!A:A,$A35,'Act detail'!$C:$C,"&lt;"&amp;$AC$3)</f>
        <v>6</v>
      </c>
      <c r="S35" s="12">
        <f>+Activities_Sample[[#This Row],[Act Aide median]]*Activities_Sample[[#This Row],[Act Hrsn]]</f>
        <v>135064.79999999999</v>
      </c>
      <c r="T35" s="12">
        <f>+Activities_Sample[[#This Row],[Act Aide average]]*Activities_Sample[[#This Row],[Act Hrsn]]</f>
        <v>135200.8542857143</v>
      </c>
      <c r="U35" s="14">
        <f>Activities_Sample[[#This Row],[Est median wage cost ]]/Activities_Sample[[#This Row],[Cost]]</f>
        <v>1.135370415514328</v>
      </c>
      <c r="V35" s="14">
        <f>Activities_Sample[[#This Row],[Est average wage cost]]/Activities_Sample[[#This Row],[Cost]]</f>
        <v>1.1365141036618245</v>
      </c>
      <c r="W35" s="14">
        <f>+Activities_Sample[[#This Row],[Act Aide min]]/Activities_Sample[[#This Row],[Act Aide median]]</f>
        <v>0.9012820512820513</v>
      </c>
      <c r="X35" s="14">
        <f>+Activities_Sample[[#This Row],[Act Aide max]]/Activities_Sample[[#This Row],[Act Aide median]]</f>
        <v>1.1269230769230769</v>
      </c>
      <c r="Y35" s="10">
        <f>VLOOKUP(A35,Summary!$1:$1048576,2,FALSE)</f>
        <v>1</v>
      </c>
    </row>
    <row r="36" spans="1:25" x14ac:dyDescent="0.55000000000000004">
      <c r="A36" s="10">
        <v>423</v>
      </c>
      <c r="B36" s="10" t="s">
        <v>54</v>
      </c>
      <c r="C36" s="10">
        <f>VLOOKUP($A36,'SAS Data'!$1:$1048576,MATCH(C$1,'SAS Data'!$3:$3,0),FALSE)</f>
        <v>2</v>
      </c>
      <c r="D36" s="10">
        <f>VLOOKUP($A36,'SAS Data'!$1:$1048576,MATCH(D$1,'SAS Data'!$3:$3,0),FALSE)</f>
        <v>3</v>
      </c>
      <c r="E36" s="10">
        <f t="shared" si="1"/>
        <v>5</v>
      </c>
      <c r="F36" s="11">
        <f>VLOOKUP($A36,'SAS Data'!$1:$1048576,MATCH(F$1,'SAS Data'!$3:$3,0),FALSE)</f>
        <v>20.044270281719974</v>
      </c>
      <c r="G36" s="12">
        <f>VLOOKUP($A36,'SAS Data'!$1:$1048576,MATCH(G$1,'SAS Data'!$3:$3,0),FALSE)</f>
        <v>4721</v>
      </c>
      <c r="H36" s="12">
        <f>+Activities_Sample[[#This Row],[Act Cph]]*Activities_Sample[[#This Row],[Act Hrsn]]</f>
        <v>94629</v>
      </c>
      <c r="I36" s="10">
        <f>COUNTIF('Act detail'!A:C,A36)</f>
        <v>3</v>
      </c>
      <c r="J36" s="13">
        <v>14</v>
      </c>
      <c r="K36" s="13">
        <v>15</v>
      </c>
      <c r="L36" s="13">
        <v>14</v>
      </c>
      <c r="M36" s="13">
        <v>14.333333333333334</v>
      </c>
      <c r="N36" s="37">
        <f>COUNTIFS('Act detail'!$A:$A,$A36,'Act detail'!$C:$C,"&lt;"&amp;L36)</f>
        <v>0</v>
      </c>
      <c r="O36" s="37">
        <f>COUNTIFS('Act detail'!$A:$A,$A36,'Act detail'!$C:$C,"&lt;"&amp;M36)</f>
        <v>2</v>
      </c>
      <c r="P36" s="37">
        <f>COUNTIFS('Act detail'!A:A,$A36,'Act detail'!$C:$C,"&lt;"&amp;$AC$1)</f>
        <v>3</v>
      </c>
      <c r="Q36" s="37">
        <f>COUNTIFS('Act detail'!A:A,$A36,'Act detail'!$C:$C,"&lt;"&amp;$AC$2)</f>
        <v>3</v>
      </c>
      <c r="R36" s="37">
        <f>COUNTIFS('Act detail'!A:A,$A36,'Act detail'!$C:$C,"&lt;"&amp;$AC$3)</f>
        <v>3</v>
      </c>
      <c r="S36" s="12">
        <f>+Activities_Sample[[#This Row],[Act Aide median]]*Activities_Sample[[#This Row],[Act Hrsn]]</f>
        <v>66094</v>
      </c>
      <c r="T36" s="12">
        <f>+Activities_Sample[[#This Row],[Act Aide average]]*Activities_Sample[[#This Row],[Act Hrsn]]</f>
        <v>67667.666666666672</v>
      </c>
      <c r="U36" s="14">
        <f>Activities_Sample[[#This Row],[Est median wage cost ]]/Activities_Sample[[#This Row],[Cost]]</f>
        <v>0.69845396231599188</v>
      </c>
      <c r="V36" s="14">
        <f>Activities_Sample[[#This Row],[Est average wage cost]]/Activities_Sample[[#This Row],[Cost]]</f>
        <v>0.71508381856161085</v>
      </c>
      <c r="W36" s="14">
        <f>+Activities_Sample[[#This Row],[Act Aide min]]/Activities_Sample[[#This Row],[Act Aide median]]</f>
        <v>1</v>
      </c>
      <c r="X36" s="14">
        <f>+Activities_Sample[[#This Row],[Act Aide max]]/Activities_Sample[[#This Row],[Act Aide median]]</f>
        <v>1.0714285714285714</v>
      </c>
      <c r="Y36" s="10">
        <f>VLOOKUP(A36,Summary!$1:$1048576,2,FALSE)</f>
        <v>2</v>
      </c>
    </row>
    <row r="37" spans="1:25" x14ac:dyDescent="0.55000000000000004">
      <c r="A37" s="10">
        <v>452</v>
      </c>
      <c r="B37" s="10" t="s">
        <v>54</v>
      </c>
      <c r="C37" s="10">
        <f>VLOOKUP($A37,'SAS Data'!$1:$1048576,MATCH(C$1,'SAS Data'!$3:$3,0),FALSE)</f>
        <v>2</v>
      </c>
      <c r="D37" s="10">
        <f>VLOOKUP($A37,'SAS Data'!$1:$1048576,MATCH(D$1,'SAS Data'!$3:$3,0),FALSE)</f>
        <v>1</v>
      </c>
      <c r="E37" s="10">
        <f t="shared" si="1"/>
        <v>3</v>
      </c>
      <c r="F37" s="11">
        <f>VLOOKUP($A37,'SAS Data'!$1:$1048576,MATCH(F$1,'SAS Data'!$3:$3,0),FALSE)</f>
        <v>13.729632485222307</v>
      </c>
      <c r="G37" s="12">
        <f>VLOOKUP($A37,'SAS Data'!$1:$1048576,MATCH(G$1,'SAS Data'!$3:$3,0),FALSE)</f>
        <v>3891</v>
      </c>
      <c r="H37" s="12">
        <f>+Activities_Sample[[#This Row],[Act Cph]]*Activities_Sample[[#This Row],[Act Hrsn]]</f>
        <v>53422</v>
      </c>
      <c r="I37" s="10">
        <f>COUNTIF('Act detail'!A:C,A37)</f>
        <v>3</v>
      </c>
      <c r="J37" s="13">
        <v>16.22</v>
      </c>
      <c r="K37" s="13">
        <v>17.05</v>
      </c>
      <c r="L37" s="13">
        <v>16.22</v>
      </c>
      <c r="M37" s="13">
        <v>16.496666666666666</v>
      </c>
      <c r="N37" s="37">
        <f>COUNTIFS('Act detail'!$A:$A,$A37,'Act detail'!$C:$C,"&lt;"&amp;L37)</f>
        <v>0</v>
      </c>
      <c r="O37" s="37">
        <f>COUNTIFS('Act detail'!$A:$A,$A37,'Act detail'!$C:$C,"&lt;"&amp;M37)</f>
        <v>2</v>
      </c>
      <c r="P37" s="37">
        <f>COUNTIFS('Act detail'!A:A,$A37,'Act detail'!$C:$C,"&lt;"&amp;$AC$1)</f>
        <v>3</v>
      </c>
      <c r="Q37" s="37">
        <f>COUNTIFS('Act detail'!A:A,$A37,'Act detail'!$C:$C,"&lt;"&amp;$AC$2)</f>
        <v>3</v>
      </c>
      <c r="R37" s="37">
        <f>COUNTIFS('Act detail'!A:A,$A37,'Act detail'!$C:$C,"&lt;"&amp;$AC$3)</f>
        <v>3</v>
      </c>
      <c r="S37" s="12">
        <f>+Activities_Sample[[#This Row],[Act Aide median]]*Activities_Sample[[#This Row],[Act Hrsn]]</f>
        <v>63112.02</v>
      </c>
      <c r="T37" s="12">
        <f>+Activities_Sample[[#This Row],[Act Aide average]]*Activities_Sample[[#This Row],[Act Hrsn]]</f>
        <v>64188.53</v>
      </c>
      <c r="U37" s="14">
        <f>Activities_Sample[[#This Row],[Est median wage cost ]]/Activities_Sample[[#This Row],[Cost]]</f>
        <v>1.1813863202425967</v>
      </c>
      <c r="V37" s="14">
        <f>Activities_Sample[[#This Row],[Est average wage cost]]/Activities_Sample[[#This Row],[Cost]]</f>
        <v>1.2015373816030848</v>
      </c>
      <c r="W37" s="14">
        <f>+Activities_Sample[[#This Row],[Act Aide min]]/Activities_Sample[[#This Row],[Act Aide median]]</f>
        <v>1</v>
      </c>
      <c r="X37" s="14">
        <f>+Activities_Sample[[#This Row],[Act Aide max]]/Activities_Sample[[#This Row],[Act Aide median]]</f>
        <v>1.0511713933415539</v>
      </c>
      <c r="Y37" s="10">
        <f>VLOOKUP(A37,Summary!$1:$1048576,2,FALSE)</f>
        <v>1</v>
      </c>
    </row>
    <row r="38" spans="1:25" x14ac:dyDescent="0.55000000000000004">
      <c r="A38" s="10">
        <v>459</v>
      </c>
      <c r="B38" s="10" t="s">
        <v>54</v>
      </c>
      <c r="C38" s="10">
        <f>VLOOKUP($A38,'SAS Data'!$1:$1048576,MATCH(C$1,'SAS Data'!$3:$3,0),FALSE)</f>
        <v>4</v>
      </c>
      <c r="D38" s="10">
        <f>VLOOKUP($A38,'SAS Data'!$1:$1048576,MATCH(D$1,'SAS Data'!$3:$3,0),FALSE)</f>
        <v>4</v>
      </c>
      <c r="E38" s="10">
        <f t="shared" si="1"/>
        <v>8</v>
      </c>
      <c r="F38" s="11">
        <f>VLOOKUP($A38,'SAS Data'!$1:$1048576,MATCH(F$1,'SAS Data'!$3:$3,0),FALSE)</f>
        <v>18.607999276083614</v>
      </c>
      <c r="G38" s="12">
        <f>VLOOKUP($A38,'SAS Data'!$1:$1048576,MATCH(G$1,'SAS Data'!$3:$3,0),FALSE)</f>
        <v>11051</v>
      </c>
      <c r="H38" s="12">
        <f>+Activities_Sample[[#This Row],[Act Cph]]*Activities_Sample[[#This Row],[Act Hrsn]]</f>
        <v>205637.00000000003</v>
      </c>
      <c r="I38" s="10">
        <f>COUNTIF('Act detail'!A:C,A38)</f>
        <v>3</v>
      </c>
      <c r="J38" s="13">
        <v>15.64</v>
      </c>
      <c r="K38" s="13">
        <v>16.27</v>
      </c>
      <c r="L38" s="13">
        <v>16.27</v>
      </c>
      <c r="M38" s="13">
        <v>16.059999999999999</v>
      </c>
      <c r="N38" s="37">
        <f>COUNTIFS('Act detail'!$A:$A,$A38,'Act detail'!$C:$C,"&lt;"&amp;L38)</f>
        <v>1</v>
      </c>
      <c r="O38" s="37">
        <f>COUNTIFS('Act detail'!$A:$A,$A38,'Act detail'!$C:$C,"&lt;"&amp;M38)</f>
        <v>1</v>
      </c>
      <c r="P38" s="37">
        <f>COUNTIFS('Act detail'!A:A,$A38,'Act detail'!$C:$C,"&lt;"&amp;$AC$1)</f>
        <v>3</v>
      </c>
      <c r="Q38" s="37">
        <f>COUNTIFS('Act detail'!A:A,$A38,'Act detail'!$C:$C,"&lt;"&amp;$AC$2)</f>
        <v>3</v>
      </c>
      <c r="R38" s="37">
        <f>COUNTIFS('Act detail'!A:A,$A38,'Act detail'!$C:$C,"&lt;"&amp;$AC$3)</f>
        <v>3</v>
      </c>
      <c r="S38" s="12">
        <f>+Activities_Sample[[#This Row],[Act Aide median]]*Activities_Sample[[#This Row],[Act Hrsn]]</f>
        <v>179799.77</v>
      </c>
      <c r="T38" s="12">
        <f>+Activities_Sample[[#This Row],[Act Aide average]]*Activities_Sample[[#This Row],[Act Hrsn]]</f>
        <v>177479.06</v>
      </c>
      <c r="U38" s="14">
        <f>Activities_Sample[[#This Row],[Est median wage cost ]]/Activities_Sample[[#This Row],[Cost]]</f>
        <v>0.87435515009458398</v>
      </c>
      <c r="V38" s="14">
        <f>Activities_Sample[[#This Row],[Est average wage cost]]/Activities_Sample[[#This Row],[Cost]]</f>
        <v>0.86306968103989057</v>
      </c>
      <c r="W38" s="14">
        <f>+Activities_Sample[[#This Row],[Act Aide min]]/Activities_Sample[[#This Row],[Act Aide median]]</f>
        <v>0.96127842655193618</v>
      </c>
      <c r="X38" s="14">
        <f>+Activities_Sample[[#This Row],[Act Aide max]]/Activities_Sample[[#This Row],[Act Aide median]]</f>
        <v>1</v>
      </c>
      <c r="Y38" s="10">
        <f>VLOOKUP(A38,Summary!$1:$1048576,2,FALSE)</f>
        <v>2</v>
      </c>
    </row>
    <row r="39" spans="1:25" x14ac:dyDescent="0.55000000000000004">
      <c r="A39" s="10">
        <v>479</v>
      </c>
      <c r="B39" s="10" t="s">
        <v>54</v>
      </c>
      <c r="C39" s="10">
        <f>VLOOKUP($A39,'SAS Data'!$1:$1048576,MATCH(C$1,'SAS Data'!$3:$3,0),FALSE)</f>
        <v>2</v>
      </c>
      <c r="D39" s="10">
        <f>VLOOKUP($A39,'SAS Data'!$1:$1048576,MATCH(D$1,'SAS Data'!$3:$3,0),FALSE)</f>
        <v>3</v>
      </c>
      <c r="E39" s="10">
        <f t="shared" si="1"/>
        <v>5</v>
      </c>
      <c r="F39" s="11">
        <f>VLOOKUP($A39,'SAS Data'!$1:$1048576,MATCH(F$1,'SAS Data'!$3:$3,0),FALSE)</f>
        <v>17.209544816522961</v>
      </c>
      <c r="G39" s="12">
        <f>VLOOKUP($A39,'SAS Data'!$1:$1048576,MATCH(G$1,'SAS Data'!$3:$3,0),FALSE)</f>
        <v>9974</v>
      </c>
      <c r="H39" s="12">
        <f>+Activities_Sample[[#This Row],[Act Cph]]*Activities_Sample[[#This Row],[Act Hrsn]]</f>
        <v>171648</v>
      </c>
      <c r="I39" s="10">
        <f>COUNTIF('Act detail'!A:C,A39)</f>
        <v>5</v>
      </c>
      <c r="J39" s="13">
        <v>15</v>
      </c>
      <c r="K39" s="13">
        <v>16.34</v>
      </c>
      <c r="L39" s="13">
        <v>15.5</v>
      </c>
      <c r="M39" s="13">
        <v>15.55</v>
      </c>
      <c r="N39" s="37">
        <f>COUNTIFS('Act detail'!$A:$A,$A39,'Act detail'!$C:$C,"&lt;"&amp;L39)</f>
        <v>2</v>
      </c>
      <c r="O39" s="37">
        <f>COUNTIFS('Act detail'!$A:$A,$A39,'Act detail'!$C:$C,"&lt;"&amp;M39)</f>
        <v>4</v>
      </c>
      <c r="P39" s="37">
        <f>COUNTIFS('Act detail'!A:A,$A39,'Act detail'!$C:$C,"&lt;"&amp;$AC$1)</f>
        <v>5</v>
      </c>
      <c r="Q39" s="37">
        <f>COUNTIFS('Act detail'!A:A,$A39,'Act detail'!$C:$C,"&lt;"&amp;$AC$2)</f>
        <v>5</v>
      </c>
      <c r="R39" s="37">
        <f>COUNTIFS('Act detail'!A:A,$A39,'Act detail'!$C:$C,"&lt;"&amp;$AC$3)</f>
        <v>5</v>
      </c>
      <c r="S39" s="12">
        <f>+Activities_Sample[[#This Row],[Act Aide median]]*Activities_Sample[[#This Row],[Act Hrsn]]</f>
        <v>154597</v>
      </c>
      <c r="T39" s="12">
        <f>+Activities_Sample[[#This Row],[Act Aide average]]*Activities_Sample[[#This Row],[Act Hrsn]]</f>
        <v>155095.70000000001</v>
      </c>
      <c r="U39" s="14">
        <f>Activities_Sample[[#This Row],[Est median wage cost ]]/Activities_Sample[[#This Row],[Cost]]</f>
        <v>0.90066298471290085</v>
      </c>
      <c r="V39" s="14">
        <f>Activities_Sample[[#This Row],[Est average wage cost]]/Activities_Sample[[#This Row],[Cost]]</f>
        <v>0.90356834917971673</v>
      </c>
      <c r="W39" s="14">
        <f>+Activities_Sample[[#This Row],[Act Aide min]]/Activities_Sample[[#This Row],[Act Aide median]]</f>
        <v>0.967741935483871</v>
      </c>
      <c r="X39" s="14">
        <f>+Activities_Sample[[#This Row],[Act Aide max]]/Activities_Sample[[#This Row],[Act Aide median]]</f>
        <v>1.0541935483870968</v>
      </c>
      <c r="Y39" s="10">
        <f>VLOOKUP(A39,Summary!$1:$1048576,2,FALSE)</f>
        <v>3</v>
      </c>
    </row>
    <row r="40" spans="1:25" x14ac:dyDescent="0.55000000000000004">
      <c r="A40" s="10">
        <v>486</v>
      </c>
      <c r="B40" s="10" t="s">
        <v>54</v>
      </c>
      <c r="C40" s="10">
        <f>VLOOKUP($A40,'SAS Data'!$1:$1048576,MATCH(C$1,'SAS Data'!$3:$3,0),FALSE)</f>
        <v>2</v>
      </c>
      <c r="D40" s="10">
        <f>VLOOKUP($A40,'SAS Data'!$1:$1048576,MATCH(D$1,'SAS Data'!$3:$3,0),FALSE)</f>
        <v>1</v>
      </c>
      <c r="E40" s="10">
        <f t="shared" si="1"/>
        <v>3</v>
      </c>
      <c r="F40" s="11">
        <f>VLOOKUP($A40,'SAS Data'!$1:$1048576,MATCH(F$1,'SAS Data'!$3:$3,0),FALSE)</f>
        <v>20.927847346451998</v>
      </c>
      <c r="G40" s="12">
        <f>VLOOKUP($A40,'SAS Data'!$1:$1048576,MATCH(G$1,'SAS Data'!$3:$3,0),FALSE)</f>
        <v>6708</v>
      </c>
      <c r="H40" s="12">
        <f>+Activities_Sample[[#This Row],[Act Cph]]*Activities_Sample[[#This Row],[Act Hrsn]]</f>
        <v>140384</v>
      </c>
      <c r="I40" s="10">
        <f>COUNTIF('Act detail'!A:C,A40)</f>
        <v>2</v>
      </c>
      <c r="J40" s="13">
        <v>17.5</v>
      </c>
      <c r="K40" s="13">
        <v>21.39</v>
      </c>
      <c r="L40" s="13">
        <v>19.445</v>
      </c>
      <c r="M40" s="13">
        <v>19.445</v>
      </c>
      <c r="N40" s="37">
        <f>COUNTIFS('Act detail'!$A:$A,$A40,'Act detail'!$C:$C,"&lt;"&amp;L40)</f>
        <v>1</v>
      </c>
      <c r="O40" s="37">
        <f>COUNTIFS('Act detail'!$A:$A,$A40,'Act detail'!$C:$C,"&lt;"&amp;M40)</f>
        <v>1</v>
      </c>
      <c r="P40" s="37">
        <f>COUNTIFS('Act detail'!A:A,$A40,'Act detail'!$C:$C,"&lt;"&amp;$AC$1)</f>
        <v>2</v>
      </c>
      <c r="Q40" s="37">
        <f>COUNTIFS('Act detail'!A:A,$A40,'Act detail'!$C:$C,"&lt;"&amp;$AC$2)</f>
        <v>0</v>
      </c>
      <c r="R40" s="37">
        <f>COUNTIFS('Act detail'!A:A,$A40,'Act detail'!$C:$C,"&lt;"&amp;$AC$3)</f>
        <v>0</v>
      </c>
      <c r="S40" s="12">
        <f>+Activities_Sample[[#This Row],[Act Aide median]]*Activities_Sample[[#This Row],[Act Hrsn]]</f>
        <v>130437.06</v>
      </c>
      <c r="T40" s="12">
        <f>+Activities_Sample[[#This Row],[Act Aide average]]*Activities_Sample[[#This Row],[Act Hrsn]]</f>
        <v>130437.06</v>
      </c>
      <c r="U40" s="14">
        <f>Activities_Sample[[#This Row],[Est median wage cost ]]/Activities_Sample[[#This Row],[Cost]]</f>
        <v>0.92914477433325737</v>
      </c>
      <c r="V40" s="14">
        <f>Activities_Sample[[#This Row],[Est average wage cost]]/Activities_Sample[[#This Row],[Cost]]</f>
        <v>0.92914477433325737</v>
      </c>
      <c r="W40" s="14">
        <f>+Activities_Sample[[#This Row],[Act Aide min]]/Activities_Sample[[#This Row],[Act Aide median]]</f>
        <v>0.8999742864489586</v>
      </c>
      <c r="X40" s="14">
        <f>+Activities_Sample[[#This Row],[Act Aide max]]/Activities_Sample[[#This Row],[Act Aide median]]</f>
        <v>1.1000257135510414</v>
      </c>
      <c r="Y40" s="10">
        <f>VLOOKUP(A40,Summary!$1:$1048576,2,FALSE)</f>
        <v>3</v>
      </c>
    </row>
    <row r="41" spans="1:25" x14ac:dyDescent="0.55000000000000004">
      <c r="A41" s="10">
        <v>500</v>
      </c>
      <c r="B41" s="10" t="s">
        <v>54</v>
      </c>
      <c r="C41" s="10">
        <f>VLOOKUP($A41,'SAS Data'!$1:$1048576,MATCH(C$1,'SAS Data'!$3:$3,0),FALSE)</f>
        <v>4</v>
      </c>
      <c r="D41" s="10">
        <f>VLOOKUP($A41,'SAS Data'!$1:$1048576,MATCH(D$1,'SAS Data'!$3:$3,0),FALSE)</f>
        <v>4</v>
      </c>
      <c r="E41" s="10">
        <f t="shared" si="1"/>
        <v>8</v>
      </c>
      <c r="F41" s="11">
        <f>VLOOKUP($A41,'SAS Data'!$1:$1048576,MATCH(F$1,'SAS Data'!$3:$3,0),FALSE)</f>
        <v>15.759798710043233</v>
      </c>
      <c r="G41" s="12">
        <f>VLOOKUP($A41,'SAS Data'!$1:$1048576,MATCH(G$1,'SAS Data'!$3:$3,0),FALSE)</f>
        <v>14109</v>
      </c>
      <c r="H41" s="12">
        <f>+Activities_Sample[[#This Row],[Act Cph]]*Activities_Sample[[#This Row],[Act Hrsn]]</f>
        <v>222354.99999999997</v>
      </c>
      <c r="I41" s="10">
        <f>COUNTIF('Act detail'!A:C,A41)</f>
        <v>18</v>
      </c>
      <c r="J41" s="13">
        <v>13</v>
      </c>
      <c r="K41" s="13">
        <v>18.52</v>
      </c>
      <c r="L41" s="13">
        <v>13.5</v>
      </c>
      <c r="M41" s="13">
        <v>14.111111111111111</v>
      </c>
      <c r="N41" s="37">
        <f>COUNTIFS('Act detail'!$A:$A,$A41,'Act detail'!$C:$C,"&lt;"&amp;L41)</f>
        <v>8</v>
      </c>
      <c r="O41" s="37">
        <f>COUNTIFS('Act detail'!$A:$A,$A41,'Act detail'!$C:$C,"&lt;"&amp;M41)</f>
        <v>11</v>
      </c>
      <c r="P41" s="37">
        <f>COUNTIFS('Act detail'!A:A,$A41,'Act detail'!$C:$C,"&lt;"&amp;$AC$1)</f>
        <v>18</v>
      </c>
      <c r="Q41" s="37">
        <f>COUNTIFS('Act detail'!A:A,$A41,'Act detail'!$C:$C,"&lt;"&amp;$AC$2)</f>
        <v>17</v>
      </c>
      <c r="R41" s="37">
        <f>COUNTIFS('Act detail'!A:A,$A41,'Act detail'!$C:$C,"&lt;"&amp;$AC$3)</f>
        <v>17</v>
      </c>
      <c r="S41" s="12">
        <f>+Activities_Sample[[#This Row],[Act Aide median]]*Activities_Sample[[#This Row],[Act Hrsn]]</f>
        <v>190471.5</v>
      </c>
      <c r="T41" s="12">
        <f>+Activities_Sample[[#This Row],[Act Aide average]]*Activities_Sample[[#This Row],[Act Hrsn]]</f>
        <v>199093.66666666666</v>
      </c>
      <c r="U41" s="14">
        <f>Activities_Sample[[#This Row],[Est median wage cost ]]/Activities_Sample[[#This Row],[Cost]]</f>
        <v>0.85660992556947235</v>
      </c>
      <c r="V41" s="14">
        <f>Activities_Sample[[#This Row],[Est average wage cost]]/Activities_Sample[[#This Row],[Cost]]</f>
        <v>0.8953865065623291</v>
      </c>
      <c r="W41" s="14">
        <f>+Activities_Sample[[#This Row],[Act Aide min]]/Activities_Sample[[#This Row],[Act Aide median]]</f>
        <v>0.96296296296296291</v>
      </c>
      <c r="X41" s="14">
        <f>+Activities_Sample[[#This Row],[Act Aide max]]/Activities_Sample[[#This Row],[Act Aide median]]</f>
        <v>1.3718518518518519</v>
      </c>
      <c r="Y41" s="10">
        <f>VLOOKUP(A41,Summary!$1:$1048576,2,FALSE)</f>
        <v>2</v>
      </c>
    </row>
    <row r="42" spans="1:25" x14ac:dyDescent="0.55000000000000004">
      <c r="A42" s="10">
        <v>506</v>
      </c>
      <c r="B42" s="10" t="s">
        <v>54</v>
      </c>
      <c r="C42" s="10">
        <f>VLOOKUP($A42,'SAS Data'!$1:$1048576,MATCH(C$1,'SAS Data'!$3:$3,0),FALSE)</f>
        <v>4</v>
      </c>
      <c r="D42" s="10">
        <f>VLOOKUP($A42,'SAS Data'!$1:$1048576,MATCH(D$1,'SAS Data'!$3:$3,0),FALSE)</f>
        <v>1</v>
      </c>
      <c r="E42" s="10">
        <f t="shared" si="1"/>
        <v>5</v>
      </c>
      <c r="F42" s="11">
        <f>VLOOKUP($A42,'SAS Data'!$1:$1048576,MATCH(F$1,'SAS Data'!$3:$3,0),FALSE)</f>
        <v>21.953309059755838</v>
      </c>
      <c r="G42" s="12">
        <f>VLOOKUP($A42,'SAS Data'!$1:$1048576,MATCH(G$1,'SAS Data'!$3:$3,0),FALSE)</f>
        <v>9338</v>
      </c>
      <c r="H42" s="12">
        <f>+Activities_Sample[[#This Row],[Act Cph]]*Activities_Sample[[#This Row],[Act Hrsn]]</f>
        <v>205000.00000000003</v>
      </c>
      <c r="I42" s="10">
        <f>COUNTIF('Act detail'!A:C,A42)</f>
        <v>5</v>
      </c>
      <c r="J42" s="13">
        <v>19.25</v>
      </c>
      <c r="K42" s="13">
        <v>23.1</v>
      </c>
      <c r="L42" s="13">
        <v>19.25</v>
      </c>
      <c r="M42" s="13">
        <v>20.240000000000002</v>
      </c>
      <c r="N42" s="37">
        <f>COUNTIFS('Act detail'!$A:$A,$A42,'Act detail'!$C:$C,"&lt;"&amp;L42)</f>
        <v>0</v>
      </c>
      <c r="O42" s="37">
        <f>COUNTIFS('Act detail'!$A:$A,$A42,'Act detail'!$C:$C,"&lt;"&amp;M42)</f>
        <v>3</v>
      </c>
      <c r="P42" s="37">
        <f>COUNTIFS('Act detail'!A:A,$A42,'Act detail'!$C:$C,"&lt;"&amp;$AC$1)</f>
        <v>5</v>
      </c>
      <c r="Q42" s="37">
        <f>COUNTIFS('Act detail'!A:A,$A42,'Act detail'!$C:$C,"&lt;"&amp;$AC$2)</f>
        <v>0</v>
      </c>
      <c r="R42" s="37">
        <f>COUNTIFS('Act detail'!A:A,$A42,'Act detail'!$C:$C,"&lt;"&amp;$AC$3)</f>
        <v>0</v>
      </c>
      <c r="S42" s="12">
        <f>+Activities_Sample[[#This Row],[Act Aide median]]*Activities_Sample[[#This Row],[Act Hrsn]]</f>
        <v>179756.5</v>
      </c>
      <c r="T42" s="12">
        <f>+Activities_Sample[[#This Row],[Act Aide average]]*Activities_Sample[[#This Row],[Act Hrsn]]</f>
        <v>189001.12000000002</v>
      </c>
      <c r="U42" s="14">
        <f>Activities_Sample[[#This Row],[Est median wage cost ]]/Activities_Sample[[#This Row],[Cost]]</f>
        <v>0.87686097560975595</v>
      </c>
      <c r="V42" s="14">
        <f>Activities_Sample[[#This Row],[Est average wage cost]]/Activities_Sample[[#This Row],[Cost]]</f>
        <v>0.92195668292682931</v>
      </c>
      <c r="W42" s="14">
        <f>+Activities_Sample[[#This Row],[Act Aide min]]/Activities_Sample[[#This Row],[Act Aide median]]</f>
        <v>1</v>
      </c>
      <c r="X42" s="14">
        <f>+Activities_Sample[[#This Row],[Act Aide max]]/Activities_Sample[[#This Row],[Act Aide median]]</f>
        <v>1.2000000000000002</v>
      </c>
      <c r="Y42" s="10">
        <f>VLOOKUP(A42,Summary!$1:$1048576,2,FALSE)</f>
        <v>3</v>
      </c>
    </row>
    <row r="43" spans="1:25" x14ac:dyDescent="0.55000000000000004">
      <c r="A43" s="10">
        <v>529</v>
      </c>
      <c r="B43" s="10" t="s">
        <v>54</v>
      </c>
      <c r="C43" s="10">
        <f>VLOOKUP($A43,'SAS Data'!$1:$1048576,MATCH(C$1,'SAS Data'!$3:$3,0),FALSE)</f>
        <v>8</v>
      </c>
      <c r="D43" s="10">
        <f>VLOOKUP($A43,'SAS Data'!$1:$1048576,MATCH(D$1,'SAS Data'!$3:$3,0),FALSE)</f>
        <v>1</v>
      </c>
      <c r="E43" s="10">
        <f t="shared" si="1"/>
        <v>9</v>
      </c>
      <c r="F43" s="11">
        <f>VLOOKUP($A43,'SAS Data'!$1:$1048576,MATCH(F$1,'SAS Data'!$3:$3,0),FALSE)</f>
        <v>18.745888261142497</v>
      </c>
      <c r="G43" s="12">
        <f>VLOOKUP($A43,'SAS Data'!$1:$1048576,MATCH(G$1,'SAS Data'!$3:$3,0),FALSE)</f>
        <v>7965</v>
      </c>
      <c r="H43" s="12">
        <f>+Activities_Sample[[#This Row],[Act Cph]]*Activities_Sample[[#This Row],[Act Hrsn]]</f>
        <v>149311</v>
      </c>
      <c r="I43" s="10">
        <f>COUNTIF('Act detail'!A:C,A43)</f>
        <v>2</v>
      </c>
      <c r="J43" s="13">
        <v>17.68</v>
      </c>
      <c r="K43" s="13">
        <v>17.8</v>
      </c>
      <c r="L43" s="13">
        <v>17.740000000000002</v>
      </c>
      <c r="M43" s="13">
        <v>17.740000000000002</v>
      </c>
      <c r="N43" s="37">
        <f>COUNTIFS('Act detail'!$A:$A,$A43,'Act detail'!$C:$C,"&lt;"&amp;L43)</f>
        <v>1</v>
      </c>
      <c r="O43" s="37">
        <f>COUNTIFS('Act detail'!$A:$A,$A43,'Act detail'!$C:$C,"&lt;"&amp;M43)</f>
        <v>1</v>
      </c>
      <c r="P43" s="37">
        <f>COUNTIFS('Act detail'!A:A,$A43,'Act detail'!$C:$C,"&lt;"&amp;$AC$1)</f>
        <v>2</v>
      </c>
      <c r="Q43" s="37">
        <f>COUNTIFS('Act detail'!A:A,$A43,'Act detail'!$C:$C,"&lt;"&amp;$AC$2)</f>
        <v>0</v>
      </c>
      <c r="R43" s="37">
        <f>COUNTIFS('Act detail'!A:A,$A43,'Act detail'!$C:$C,"&lt;"&amp;$AC$3)</f>
        <v>0</v>
      </c>
      <c r="S43" s="12">
        <f>+Activities_Sample[[#This Row],[Act Aide median]]*Activities_Sample[[#This Row],[Act Hrsn]]</f>
        <v>141299.1</v>
      </c>
      <c r="T43" s="12">
        <f>+Activities_Sample[[#This Row],[Act Aide average]]*Activities_Sample[[#This Row],[Act Hrsn]]</f>
        <v>141299.1</v>
      </c>
      <c r="U43" s="14">
        <f>Activities_Sample[[#This Row],[Est median wage cost ]]/Activities_Sample[[#This Row],[Cost]]</f>
        <v>0.94634085901239695</v>
      </c>
      <c r="V43" s="14">
        <f>Activities_Sample[[#This Row],[Est average wage cost]]/Activities_Sample[[#This Row],[Cost]]</f>
        <v>0.94634085901239695</v>
      </c>
      <c r="W43" s="14">
        <f>+Activities_Sample[[#This Row],[Act Aide min]]/Activities_Sample[[#This Row],[Act Aide median]]</f>
        <v>0.99661781285231099</v>
      </c>
      <c r="X43" s="14">
        <f>+Activities_Sample[[#This Row],[Act Aide max]]/Activities_Sample[[#This Row],[Act Aide median]]</f>
        <v>1.0033821871476887</v>
      </c>
      <c r="Y43" s="10">
        <f>VLOOKUP(A43,Summary!$1:$1048576,2,FALSE)</f>
        <v>3</v>
      </c>
    </row>
    <row r="44" spans="1:25" x14ac:dyDescent="0.55000000000000004">
      <c r="A44" s="10">
        <v>535</v>
      </c>
      <c r="B44" s="10" t="s">
        <v>54</v>
      </c>
      <c r="C44" s="10">
        <f>VLOOKUP($A44,'SAS Data'!$1:$1048576,MATCH(C$1,'SAS Data'!$3:$3,0),FALSE)</f>
        <v>4</v>
      </c>
      <c r="D44" s="10">
        <f>VLOOKUP($A44,'SAS Data'!$1:$1048576,MATCH(D$1,'SAS Data'!$3:$3,0),FALSE)</f>
        <v>0</v>
      </c>
      <c r="E44" s="10">
        <f t="shared" si="1"/>
        <v>4</v>
      </c>
      <c r="F44" s="11">
        <f>VLOOKUP($A44,'SAS Data'!$1:$1048576,MATCH(F$1,'SAS Data'!$3:$3,0),FALSE)</f>
        <v>23.181303116147308</v>
      </c>
      <c r="G44" s="12">
        <f>VLOOKUP($A44,'SAS Data'!$1:$1048576,MATCH(G$1,'SAS Data'!$3:$3,0),FALSE)</f>
        <v>3177</v>
      </c>
      <c r="H44" s="12">
        <f>+Activities_Sample[[#This Row],[Act Cph]]*Activities_Sample[[#This Row],[Act Hrsn]]</f>
        <v>73647</v>
      </c>
      <c r="I44" s="10">
        <f>COUNTIF('Act detail'!A:C,A44)</f>
        <v>2</v>
      </c>
      <c r="J44" s="13">
        <v>20.52</v>
      </c>
      <c r="K44" s="13">
        <v>24.85</v>
      </c>
      <c r="L44" s="13">
        <v>22.685000000000002</v>
      </c>
      <c r="M44" s="13">
        <v>22.685000000000002</v>
      </c>
      <c r="N44" s="37">
        <f>COUNTIFS('Act detail'!$A:$A,$A44,'Act detail'!$C:$C,"&lt;"&amp;L44)</f>
        <v>1</v>
      </c>
      <c r="O44" s="37">
        <f>COUNTIFS('Act detail'!$A:$A,$A44,'Act detail'!$C:$C,"&lt;"&amp;M44)</f>
        <v>1</v>
      </c>
      <c r="P44" s="37">
        <f>COUNTIFS('Act detail'!A:A,$A44,'Act detail'!$C:$C,"&lt;"&amp;$AC$1)</f>
        <v>2</v>
      </c>
      <c r="Q44" s="37">
        <f>COUNTIFS('Act detail'!A:A,$A44,'Act detail'!$C:$C,"&lt;"&amp;$AC$2)</f>
        <v>0</v>
      </c>
      <c r="R44" s="37">
        <f>COUNTIFS('Act detail'!A:A,$A44,'Act detail'!$C:$C,"&lt;"&amp;$AC$3)</f>
        <v>0</v>
      </c>
      <c r="S44" s="12">
        <f>+Activities_Sample[[#This Row],[Act Aide median]]*Activities_Sample[[#This Row],[Act Hrsn]]</f>
        <v>72070.24500000001</v>
      </c>
      <c r="T44" s="12">
        <f>+Activities_Sample[[#This Row],[Act Aide average]]*Activities_Sample[[#This Row],[Act Hrsn]]</f>
        <v>72070.24500000001</v>
      </c>
      <c r="U44" s="14">
        <f>Activities_Sample[[#This Row],[Est median wage cost ]]/Activities_Sample[[#This Row],[Cost]]</f>
        <v>0.97859037027984863</v>
      </c>
      <c r="V44" s="14">
        <f>Activities_Sample[[#This Row],[Est average wage cost]]/Activities_Sample[[#This Row],[Cost]]</f>
        <v>0.97859037027984863</v>
      </c>
      <c r="W44" s="14">
        <f>+Activities_Sample[[#This Row],[Act Aide min]]/Activities_Sample[[#This Row],[Act Aide median]]</f>
        <v>0.90456248622437718</v>
      </c>
      <c r="X44" s="14">
        <f>+Activities_Sample[[#This Row],[Act Aide max]]/Activities_Sample[[#This Row],[Act Aide median]]</f>
        <v>1.0954375137756227</v>
      </c>
      <c r="Y44" s="10">
        <f>VLOOKUP(A44,Summary!$1:$1048576,2,FALSE)</f>
        <v>3</v>
      </c>
    </row>
    <row r="45" spans="1:25" x14ac:dyDescent="0.55000000000000004">
      <c r="A45" s="10">
        <v>540</v>
      </c>
      <c r="B45" s="10" t="s">
        <v>54</v>
      </c>
      <c r="C45" s="10">
        <f>VLOOKUP($A45,'SAS Data'!$1:$1048576,MATCH(C$1,'SAS Data'!$3:$3,0),FALSE)</f>
        <v>6</v>
      </c>
      <c r="D45" s="10">
        <f>VLOOKUP($A45,'SAS Data'!$1:$1048576,MATCH(D$1,'SAS Data'!$3:$3,0),FALSE)</f>
        <v>3</v>
      </c>
      <c r="E45" s="10">
        <f t="shared" si="1"/>
        <v>9</v>
      </c>
      <c r="F45" s="11">
        <f>VLOOKUP($A45,'SAS Data'!$1:$1048576,MATCH(F$1,'SAS Data'!$3:$3,0),FALSE)</f>
        <v>18.136860879904876</v>
      </c>
      <c r="G45" s="12">
        <f>VLOOKUP($A45,'SAS Data'!$1:$1048576,MATCH(G$1,'SAS Data'!$3:$3,0),FALSE)</f>
        <v>16820</v>
      </c>
      <c r="H45" s="12">
        <f>+Activities_Sample[[#This Row],[Act Cph]]*Activities_Sample[[#This Row],[Act Hrsn]]</f>
        <v>305062</v>
      </c>
      <c r="I45" s="10">
        <f>COUNTIF('Act detail'!A:C,A45)</f>
        <v>6</v>
      </c>
      <c r="J45" s="13">
        <v>18.48</v>
      </c>
      <c r="K45" s="13">
        <v>21.63</v>
      </c>
      <c r="L45" s="13">
        <v>19.535</v>
      </c>
      <c r="M45" s="13">
        <v>19.736666666666668</v>
      </c>
      <c r="N45" s="37">
        <f>COUNTIFS('Act detail'!$A:$A,$A45,'Act detail'!$C:$C,"&lt;"&amp;L45)</f>
        <v>3</v>
      </c>
      <c r="O45" s="37">
        <f>COUNTIFS('Act detail'!$A:$A,$A45,'Act detail'!$C:$C,"&lt;"&amp;M45)</f>
        <v>3</v>
      </c>
      <c r="P45" s="37">
        <f>COUNTIFS('Act detail'!A:A,$A45,'Act detail'!$C:$C,"&lt;"&amp;$AC$1)</f>
        <v>6</v>
      </c>
      <c r="Q45" s="37">
        <f>COUNTIFS('Act detail'!A:A,$A45,'Act detail'!$C:$C,"&lt;"&amp;$AC$2)</f>
        <v>0</v>
      </c>
      <c r="R45" s="37">
        <f>COUNTIFS('Act detail'!A:A,$A45,'Act detail'!$C:$C,"&lt;"&amp;$AC$3)</f>
        <v>0</v>
      </c>
      <c r="S45" s="12">
        <f>+Activities_Sample[[#This Row],[Act Aide median]]*Activities_Sample[[#This Row],[Act Hrsn]]</f>
        <v>328578.7</v>
      </c>
      <c r="T45" s="12">
        <f>+Activities_Sample[[#This Row],[Act Aide average]]*Activities_Sample[[#This Row],[Act Hrsn]]</f>
        <v>331970.73333333334</v>
      </c>
      <c r="U45" s="14">
        <f>Activities_Sample[[#This Row],[Est median wage cost ]]/Activities_Sample[[#This Row],[Cost]]</f>
        <v>1.0770882640250179</v>
      </c>
      <c r="V45" s="14">
        <f>Activities_Sample[[#This Row],[Est average wage cost]]/Activities_Sample[[#This Row],[Cost]]</f>
        <v>1.0882074245016859</v>
      </c>
      <c r="W45" s="14">
        <f>+Activities_Sample[[#This Row],[Act Aide min]]/Activities_Sample[[#This Row],[Act Aide median]]</f>
        <v>0.94599436908113643</v>
      </c>
      <c r="X45" s="14">
        <f>+Activities_Sample[[#This Row],[Act Aide max]]/Activities_Sample[[#This Row],[Act Aide median]]</f>
        <v>1.1072434092654211</v>
      </c>
      <c r="Y45" s="10">
        <f>VLOOKUP(A45,Summary!$1:$1048576,2,FALSE)</f>
        <v>2</v>
      </c>
    </row>
    <row r="46" spans="1:25" x14ac:dyDescent="0.55000000000000004">
      <c r="A46" s="10">
        <v>542</v>
      </c>
      <c r="B46" s="10" t="s">
        <v>54</v>
      </c>
      <c r="C46" s="10">
        <f>VLOOKUP($A46,'SAS Data'!$1:$1048576,MATCH(C$1,'SAS Data'!$3:$3,0),FALSE)</f>
        <v>2</v>
      </c>
      <c r="D46" s="10">
        <f>VLOOKUP($A46,'SAS Data'!$1:$1048576,MATCH(D$1,'SAS Data'!$3:$3,0),FALSE)</f>
        <v>0</v>
      </c>
      <c r="E46" s="10">
        <f t="shared" si="1"/>
        <v>2</v>
      </c>
      <c r="F46" s="11">
        <f>VLOOKUP($A46,'SAS Data'!$1:$1048576,MATCH(F$1,'SAS Data'!$3:$3,0),FALSE)</f>
        <v>22.256038647342997</v>
      </c>
      <c r="G46" s="12">
        <f>VLOOKUP($A46,'SAS Data'!$1:$1048576,MATCH(G$1,'SAS Data'!$3:$3,0),FALSE)</f>
        <v>4140</v>
      </c>
      <c r="H46" s="12">
        <f>+Activities_Sample[[#This Row],[Act Cph]]*Activities_Sample[[#This Row],[Act Hrsn]]</f>
        <v>92140.000000000015</v>
      </c>
      <c r="I46" s="10">
        <f>COUNTIF('Act detail'!A:C,A46)</f>
        <v>1</v>
      </c>
      <c r="J46" s="13">
        <v>19.5</v>
      </c>
      <c r="K46" s="13">
        <v>19.5</v>
      </c>
      <c r="L46" s="13">
        <v>19.5</v>
      </c>
      <c r="M46" s="13">
        <v>19.5</v>
      </c>
      <c r="N46" s="37">
        <f>COUNTIFS('Act detail'!$A:$A,$A46,'Act detail'!$C:$C,"&lt;"&amp;L46)</f>
        <v>0</v>
      </c>
      <c r="O46" s="37">
        <f>COUNTIFS('Act detail'!$A:$A,$A46,'Act detail'!$C:$C,"&lt;"&amp;M46)</f>
        <v>0</v>
      </c>
      <c r="P46" s="37">
        <f>COUNTIFS('Act detail'!A:A,$A46,'Act detail'!$C:$C,"&lt;"&amp;$AC$1)</f>
        <v>1</v>
      </c>
      <c r="Q46" s="37">
        <f>COUNTIFS('Act detail'!A:A,$A46,'Act detail'!$C:$C,"&lt;"&amp;$AC$2)</f>
        <v>0</v>
      </c>
      <c r="R46" s="37">
        <f>COUNTIFS('Act detail'!A:A,$A46,'Act detail'!$C:$C,"&lt;"&amp;$AC$3)</f>
        <v>0</v>
      </c>
      <c r="S46" s="12">
        <f>+Activities_Sample[[#This Row],[Act Aide median]]*Activities_Sample[[#This Row],[Act Hrsn]]</f>
        <v>80730</v>
      </c>
      <c r="T46" s="12">
        <f>+Activities_Sample[[#This Row],[Act Aide average]]*Activities_Sample[[#This Row],[Act Hrsn]]</f>
        <v>80730</v>
      </c>
      <c r="U46" s="14">
        <f>Activities_Sample[[#This Row],[Est median wage cost ]]/Activities_Sample[[#This Row],[Cost]]</f>
        <v>0.87616670284349885</v>
      </c>
      <c r="V46" s="14">
        <f>Activities_Sample[[#This Row],[Est average wage cost]]/Activities_Sample[[#This Row],[Cost]]</f>
        <v>0.87616670284349885</v>
      </c>
      <c r="W46" s="14">
        <f>+Activities_Sample[[#This Row],[Act Aide min]]/Activities_Sample[[#This Row],[Act Aide median]]</f>
        <v>1</v>
      </c>
      <c r="X46" s="14">
        <f>+Activities_Sample[[#This Row],[Act Aide max]]/Activities_Sample[[#This Row],[Act Aide median]]</f>
        <v>1</v>
      </c>
      <c r="Y46" s="10">
        <f>VLOOKUP(A46,Summary!$1:$1048576,2,FALSE)</f>
        <v>3</v>
      </c>
    </row>
    <row r="47" spans="1:25" x14ac:dyDescent="0.55000000000000004">
      <c r="A47" s="10">
        <v>543</v>
      </c>
      <c r="B47" s="10" t="s">
        <v>54</v>
      </c>
      <c r="C47" s="10">
        <f>VLOOKUP($A47,'SAS Data'!$1:$1048576,MATCH(C$1,'SAS Data'!$3:$3,0),FALSE)</f>
        <v>3</v>
      </c>
      <c r="D47" s="10">
        <f>VLOOKUP($A47,'SAS Data'!$1:$1048576,MATCH(D$1,'SAS Data'!$3:$3,0),FALSE)</f>
        <v>0</v>
      </c>
      <c r="E47" s="10">
        <f t="shared" si="1"/>
        <v>3</v>
      </c>
      <c r="F47" s="11">
        <f>VLOOKUP($A47,'SAS Data'!$1:$1048576,MATCH(F$1,'SAS Data'!$3:$3,0),FALSE)</f>
        <v>17.782526115859451</v>
      </c>
      <c r="G47" s="12">
        <f>VLOOKUP($A47,'SAS Data'!$1:$1048576,MATCH(G$1,'SAS Data'!$3:$3,0),FALSE)</f>
        <v>5265</v>
      </c>
      <c r="H47" s="12">
        <f>+Activities_Sample[[#This Row],[Act Cph]]*Activities_Sample[[#This Row],[Act Hrsn]]</f>
        <v>93625.000000000015</v>
      </c>
      <c r="I47" s="10">
        <f>COUNTIF('Act detail'!A:C,A47)</f>
        <v>1</v>
      </c>
      <c r="J47" s="13">
        <v>13.8</v>
      </c>
      <c r="K47" s="13">
        <v>13.8</v>
      </c>
      <c r="L47" s="13">
        <v>13.8</v>
      </c>
      <c r="M47" s="13">
        <v>13.8</v>
      </c>
      <c r="N47" s="37">
        <f>COUNTIFS('Act detail'!$A:$A,$A47,'Act detail'!$C:$C,"&lt;"&amp;L47)</f>
        <v>0</v>
      </c>
      <c r="O47" s="37">
        <f>COUNTIFS('Act detail'!$A:$A,$A47,'Act detail'!$C:$C,"&lt;"&amp;M47)</f>
        <v>0</v>
      </c>
      <c r="P47" s="37">
        <f>COUNTIFS('Act detail'!A:A,$A47,'Act detail'!$C:$C,"&lt;"&amp;$AC$1)</f>
        <v>1</v>
      </c>
      <c r="Q47" s="37">
        <f>COUNTIFS('Act detail'!A:A,$A47,'Act detail'!$C:$C,"&lt;"&amp;$AC$2)</f>
        <v>1</v>
      </c>
      <c r="R47" s="37">
        <f>COUNTIFS('Act detail'!A:A,$A47,'Act detail'!$C:$C,"&lt;"&amp;$AC$3)</f>
        <v>1</v>
      </c>
      <c r="S47" s="12">
        <f>+Activities_Sample[[#This Row],[Act Aide median]]*Activities_Sample[[#This Row],[Act Hrsn]]</f>
        <v>72657</v>
      </c>
      <c r="T47" s="12">
        <f>+Activities_Sample[[#This Row],[Act Aide average]]*Activities_Sample[[#This Row],[Act Hrsn]]</f>
        <v>72657</v>
      </c>
      <c r="U47" s="14">
        <f>Activities_Sample[[#This Row],[Est median wage cost ]]/Activities_Sample[[#This Row],[Cost]]</f>
        <v>0.77604272363150861</v>
      </c>
      <c r="V47" s="14">
        <f>Activities_Sample[[#This Row],[Est average wage cost]]/Activities_Sample[[#This Row],[Cost]]</f>
        <v>0.77604272363150861</v>
      </c>
      <c r="W47" s="14">
        <f>+Activities_Sample[[#This Row],[Act Aide min]]/Activities_Sample[[#This Row],[Act Aide median]]</f>
        <v>1</v>
      </c>
      <c r="X47" s="14">
        <f>+Activities_Sample[[#This Row],[Act Aide max]]/Activities_Sample[[#This Row],[Act Aide median]]</f>
        <v>1</v>
      </c>
      <c r="Y47" s="10">
        <f>VLOOKUP(A47,Summary!$1:$1048576,2,FALSE)</f>
        <v>1</v>
      </c>
    </row>
    <row r="48" spans="1:25" x14ac:dyDescent="0.55000000000000004">
      <c r="A48" s="10">
        <v>550</v>
      </c>
      <c r="B48" s="10" t="s">
        <v>54</v>
      </c>
      <c r="C48" s="10">
        <f>VLOOKUP($A48,'SAS Data'!$1:$1048576,MATCH(C$1,'SAS Data'!$3:$3,0),FALSE)</f>
        <v>3</v>
      </c>
      <c r="D48" s="10">
        <f>VLOOKUP($A48,'SAS Data'!$1:$1048576,MATCH(D$1,'SAS Data'!$3:$3,0),FALSE)</f>
        <v>3</v>
      </c>
      <c r="E48" s="10">
        <f t="shared" si="1"/>
        <v>6</v>
      </c>
      <c r="F48" s="11">
        <f>VLOOKUP($A48,'SAS Data'!$1:$1048576,MATCH(F$1,'SAS Data'!$3:$3,0),FALSE)</f>
        <v>20.452120383036934</v>
      </c>
      <c r="G48" s="12">
        <f>VLOOKUP($A48,'SAS Data'!$1:$1048576,MATCH(G$1,'SAS Data'!$3:$3,0),FALSE)</f>
        <v>7310</v>
      </c>
      <c r="H48" s="12">
        <f>+Activities_Sample[[#This Row],[Act Cph]]*Activities_Sample[[#This Row],[Act Hrsn]]</f>
        <v>149505</v>
      </c>
      <c r="I48" s="10">
        <f>COUNTIF('Act detail'!A:C,A48)</f>
        <v>4</v>
      </c>
      <c r="J48" s="13">
        <v>15.5</v>
      </c>
      <c r="K48" s="13">
        <v>18.89</v>
      </c>
      <c r="L48" s="13">
        <v>18.375</v>
      </c>
      <c r="M48" s="13">
        <v>17.785</v>
      </c>
      <c r="N48" s="37">
        <f>COUNTIFS('Act detail'!$A:$A,$A48,'Act detail'!$C:$C,"&lt;"&amp;L48)</f>
        <v>2</v>
      </c>
      <c r="O48" s="37">
        <f>COUNTIFS('Act detail'!$A:$A,$A48,'Act detail'!$C:$C,"&lt;"&amp;M48)</f>
        <v>1</v>
      </c>
      <c r="P48" s="37">
        <f>COUNTIFS('Act detail'!A:A,$A48,'Act detail'!$C:$C,"&lt;"&amp;$AC$1)</f>
        <v>4</v>
      </c>
      <c r="Q48" s="37">
        <f>COUNTIFS('Act detail'!A:A,$A48,'Act detail'!$C:$C,"&lt;"&amp;$AC$2)</f>
        <v>1</v>
      </c>
      <c r="R48" s="37">
        <f>COUNTIFS('Act detail'!A:A,$A48,'Act detail'!$C:$C,"&lt;"&amp;$AC$3)</f>
        <v>1</v>
      </c>
      <c r="S48" s="12">
        <f>+Activities_Sample[[#This Row],[Act Aide median]]*Activities_Sample[[#This Row],[Act Hrsn]]</f>
        <v>134321.25</v>
      </c>
      <c r="T48" s="12">
        <f>+Activities_Sample[[#This Row],[Act Aide average]]*Activities_Sample[[#This Row],[Act Hrsn]]</f>
        <v>130008.35</v>
      </c>
      <c r="U48" s="14">
        <f>Activities_Sample[[#This Row],[Est median wage cost ]]/Activities_Sample[[#This Row],[Cost]]</f>
        <v>0.89843985150998296</v>
      </c>
      <c r="V48" s="14">
        <f>Activities_Sample[[#This Row],[Est average wage cost]]/Activities_Sample[[#This Row],[Cost]]</f>
        <v>0.86959198689007056</v>
      </c>
      <c r="W48" s="14">
        <f>+Activities_Sample[[#This Row],[Act Aide min]]/Activities_Sample[[#This Row],[Act Aide median]]</f>
        <v>0.84353741496598644</v>
      </c>
      <c r="X48" s="14">
        <f>+Activities_Sample[[#This Row],[Act Aide max]]/Activities_Sample[[#This Row],[Act Aide median]]</f>
        <v>1.0280272108843538</v>
      </c>
      <c r="Y48" s="10">
        <f>VLOOKUP(A48,Summary!$1:$1048576,2,FALSE)</f>
        <v>2</v>
      </c>
    </row>
    <row r="49" spans="1:25" x14ac:dyDescent="0.55000000000000004">
      <c r="A49" s="10">
        <v>555</v>
      </c>
      <c r="B49" s="10" t="s">
        <v>54</v>
      </c>
      <c r="C49" s="10">
        <f>VLOOKUP($A49,'SAS Data'!$1:$1048576,MATCH(C$1,'SAS Data'!$3:$3,0),FALSE)</f>
        <v>1</v>
      </c>
      <c r="D49" s="10">
        <f>VLOOKUP($A49,'SAS Data'!$1:$1048576,MATCH(D$1,'SAS Data'!$3:$3,0),FALSE)</f>
        <v>0</v>
      </c>
      <c r="E49" s="10">
        <f t="shared" si="1"/>
        <v>1</v>
      </c>
      <c r="F49" s="11">
        <f>VLOOKUP($A49,'SAS Data'!$1:$1048576,MATCH(F$1,'SAS Data'!$3:$3,0),FALSE)</f>
        <v>21.205972648618477</v>
      </c>
      <c r="G49" s="12">
        <f>VLOOKUP($A49,'SAS Data'!$1:$1048576,MATCH(G$1,'SAS Data'!$3:$3,0),FALSE)</f>
        <v>3583</v>
      </c>
      <c r="H49" s="12">
        <f>+Activities_Sample[[#This Row],[Act Cph]]*Activities_Sample[[#This Row],[Act Hrsn]]</f>
        <v>75981</v>
      </c>
      <c r="I49" s="10">
        <f>COUNTIF('Act detail'!A:C,A49)</f>
        <v>2</v>
      </c>
      <c r="J49" s="13">
        <v>21.68</v>
      </c>
      <c r="K49" s="13">
        <v>22.25</v>
      </c>
      <c r="L49" s="13">
        <v>21.965</v>
      </c>
      <c r="M49" s="13">
        <v>21.965</v>
      </c>
      <c r="N49" s="37">
        <f>COUNTIFS('Act detail'!$A:$A,$A49,'Act detail'!$C:$C,"&lt;"&amp;L49)</f>
        <v>1</v>
      </c>
      <c r="O49" s="37">
        <f>COUNTIFS('Act detail'!$A:$A,$A49,'Act detail'!$C:$C,"&lt;"&amp;M49)</f>
        <v>1</v>
      </c>
      <c r="P49" s="37">
        <f>COUNTIFS('Act detail'!A:A,$A49,'Act detail'!$C:$C,"&lt;"&amp;$AC$1)</f>
        <v>2</v>
      </c>
      <c r="Q49" s="37">
        <f>COUNTIFS('Act detail'!A:A,$A49,'Act detail'!$C:$C,"&lt;"&amp;$AC$2)</f>
        <v>0</v>
      </c>
      <c r="R49" s="37">
        <f>COUNTIFS('Act detail'!A:A,$A49,'Act detail'!$C:$C,"&lt;"&amp;$AC$3)</f>
        <v>0</v>
      </c>
      <c r="S49" s="12">
        <f>+Activities_Sample[[#This Row],[Act Aide median]]*Activities_Sample[[#This Row],[Act Hrsn]]</f>
        <v>78700.595000000001</v>
      </c>
      <c r="T49" s="12">
        <f>+Activities_Sample[[#This Row],[Act Aide average]]*Activities_Sample[[#This Row],[Act Hrsn]]</f>
        <v>78700.595000000001</v>
      </c>
      <c r="U49" s="14">
        <f>Activities_Sample[[#This Row],[Est median wage cost ]]/Activities_Sample[[#This Row],[Cost]]</f>
        <v>1.0357930930100947</v>
      </c>
      <c r="V49" s="14">
        <f>Activities_Sample[[#This Row],[Est average wage cost]]/Activities_Sample[[#This Row],[Cost]]</f>
        <v>1.0357930930100947</v>
      </c>
      <c r="W49" s="14">
        <f>+Activities_Sample[[#This Row],[Act Aide min]]/Activities_Sample[[#This Row],[Act Aide median]]</f>
        <v>0.98702481220122917</v>
      </c>
      <c r="X49" s="14">
        <f>+Activities_Sample[[#This Row],[Act Aide max]]/Activities_Sample[[#This Row],[Act Aide median]]</f>
        <v>1.0129751877987707</v>
      </c>
      <c r="Y49" s="10">
        <f>VLOOKUP(A49,Summary!$1:$1048576,2,FALSE)</f>
        <v>1</v>
      </c>
    </row>
    <row r="50" spans="1:25" x14ac:dyDescent="0.55000000000000004">
      <c r="A50" s="10">
        <v>558</v>
      </c>
      <c r="B50" s="10" t="s">
        <v>54</v>
      </c>
      <c r="C50" s="10">
        <f>VLOOKUP($A50,'SAS Data'!$1:$1048576,MATCH(C$1,'SAS Data'!$3:$3,0),FALSE)</f>
        <v>5</v>
      </c>
      <c r="D50" s="10">
        <f>VLOOKUP($A50,'SAS Data'!$1:$1048576,MATCH(D$1,'SAS Data'!$3:$3,0),FALSE)</f>
        <v>10</v>
      </c>
      <c r="E50" s="10">
        <f t="shared" si="1"/>
        <v>15</v>
      </c>
      <c r="F50" s="11">
        <f>VLOOKUP($A50,'SAS Data'!$1:$1048576,MATCH(F$1,'SAS Data'!$3:$3,0),FALSE)</f>
        <v>18.180199965323933</v>
      </c>
      <c r="G50" s="12">
        <f>VLOOKUP($A50,'SAS Data'!$1:$1048576,MATCH(G$1,'SAS Data'!$3:$3,0),FALSE)</f>
        <v>17303</v>
      </c>
      <c r="H50" s="12">
        <f>+Activities_Sample[[#This Row],[Act Cph]]*Activities_Sample[[#This Row],[Act Hrsn]]</f>
        <v>314572</v>
      </c>
      <c r="I50" s="10">
        <f>COUNTIF('Act detail'!A:C,A50)</f>
        <v>15</v>
      </c>
      <c r="J50" s="13">
        <v>15.25</v>
      </c>
      <c r="K50" s="13">
        <v>20</v>
      </c>
      <c r="L50" s="13">
        <v>16.25</v>
      </c>
      <c r="M50" s="13">
        <v>17.125</v>
      </c>
      <c r="N50" s="37">
        <f>COUNTIFS('Act detail'!$A:$A,$A50,'Act detail'!$C:$C,"&lt;"&amp;L50)</f>
        <v>7</v>
      </c>
      <c r="O50" s="37">
        <f>COUNTIFS('Act detail'!$A:$A,$A50,'Act detail'!$C:$C,"&lt;"&amp;M50)</f>
        <v>9</v>
      </c>
      <c r="P50" s="37">
        <f>COUNTIFS('Act detail'!A:A,$A50,'Act detail'!$C:$C,"&lt;"&amp;$AC$1)</f>
        <v>15</v>
      </c>
      <c r="Q50" s="37">
        <f>COUNTIFS('Act detail'!A:A,$A50,'Act detail'!$C:$C,"&lt;"&amp;$AC$2)</f>
        <v>9</v>
      </c>
      <c r="R50" s="37">
        <f>COUNTIFS('Act detail'!A:A,$A50,'Act detail'!$C:$C,"&lt;"&amp;$AC$3)</f>
        <v>9</v>
      </c>
      <c r="S50" s="12">
        <f>+Activities_Sample[[#This Row],[Act Aide median]]*Activities_Sample[[#This Row],[Act Hrsn]]</f>
        <v>281173.75</v>
      </c>
      <c r="T50" s="12">
        <f>+Activities_Sample[[#This Row],[Act Aide average]]*Activities_Sample[[#This Row],[Act Hrsn]]</f>
        <v>296313.875</v>
      </c>
      <c r="U50" s="14">
        <f>Activities_Sample[[#This Row],[Est median wage cost ]]/Activities_Sample[[#This Row],[Cost]]</f>
        <v>0.89382955253487273</v>
      </c>
      <c r="V50" s="14">
        <f>Activities_Sample[[#This Row],[Est average wage cost]]/Activities_Sample[[#This Row],[Cost]]</f>
        <v>0.94195883613290443</v>
      </c>
      <c r="W50" s="14">
        <f>+Activities_Sample[[#This Row],[Act Aide min]]/Activities_Sample[[#This Row],[Act Aide median]]</f>
        <v>0.93846153846153846</v>
      </c>
      <c r="X50" s="14">
        <f>+Activities_Sample[[#This Row],[Act Aide max]]/Activities_Sample[[#This Row],[Act Aide median]]</f>
        <v>1.2307692307692308</v>
      </c>
      <c r="Y50" s="10">
        <f>VLOOKUP(A50,Summary!$1:$1048576,2,FALSE)</f>
        <v>1</v>
      </c>
    </row>
    <row r="51" spans="1:25" x14ac:dyDescent="0.55000000000000004">
      <c r="A51" s="10">
        <v>560</v>
      </c>
      <c r="B51" s="10" t="s">
        <v>54</v>
      </c>
      <c r="C51" s="10">
        <f>VLOOKUP($A51,'SAS Data'!$1:$1048576,MATCH(C$1,'SAS Data'!$3:$3,0),FALSE)</f>
        <v>5</v>
      </c>
      <c r="D51" s="10">
        <f>VLOOKUP($A51,'SAS Data'!$1:$1048576,MATCH(D$1,'SAS Data'!$3:$3,0),FALSE)</f>
        <v>1</v>
      </c>
      <c r="E51" s="10">
        <f t="shared" si="1"/>
        <v>6</v>
      </c>
      <c r="F51" s="11">
        <f>VLOOKUP($A51,'SAS Data'!$1:$1048576,MATCH(F$1,'SAS Data'!$3:$3,0),FALSE)</f>
        <v>20.484871599288077</v>
      </c>
      <c r="G51" s="12">
        <f>VLOOKUP($A51,'SAS Data'!$1:$1048576,MATCH(G$1,'SAS Data'!$3:$3,0),FALSE)</f>
        <v>11799</v>
      </c>
      <c r="H51" s="12">
        <f>+Activities_Sample[[#This Row],[Act Cph]]*Activities_Sample[[#This Row],[Act Hrsn]]</f>
        <v>241701.00000000003</v>
      </c>
      <c r="I51" s="10">
        <f>COUNTIF('Act detail'!A:C,A51)</f>
        <v>4</v>
      </c>
      <c r="J51" s="13">
        <v>16.54</v>
      </c>
      <c r="K51" s="13">
        <v>22.145</v>
      </c>
      <c r="L51" s="13">
        <v>19.43975</v>
      </c>
      <c r="M51" s="13">
        <v>19.391124999999999</v>
      </c>
      <c r="N51" s="37">
        <f>COUNTIFS('Act detail'!$A:$A,$A51,'Act detail'!$C:$C,"&lt;"&amp;L51)</f>
        <v>2</v>
      </c>
      <c r="O51" s="37">
        <f>COUNTIFS('Act detail'!$A:$A,$A51,'Act detail'!$C:$C,"&lt;"&amp;M51)</f>
        <v>2</v>
      </c>
      <c r="P51" s="37">
        <f>COUNTIFS('Act detail'!A:A,$A51,'Act detail'!$C:$C,"&lt;"&amp;$AC$1)</f>
        <v>4</v>
      </c>
      <c r="Q51" s="37">
        <f>COUNTIFS('Act detail'!A:A,$A51,'Act detail'!$C:$C,"&lt;"&amp;$AC$2)</f>
        <v>1</v>
      </c>
      <c r="R51" s="37">
        <f>COUNTIFS('Act detail'!A:A,$A51,'Act detail'!$C:$C,"&lt;"&amp;$AC$3)</f>
        <v>1</v>
      </c>
      <c r="S51" s="12">
        <f>+Activities_Sample[[#This Row],[Act Aide median]]*Activities_Sample[[#This Row],[Act Hrsn]]</f>
        <v>229369.61025</v>
      </c>
      <c r="T51" s="12">
        <f>+Activities_Sample[[#This Row],[Act Aide average]]*Activities_Sample[[#This Row],[Act Hrsn]]</f>
        <v>228795.883875</v>
      </c>
      <c r="U51" s="14">
        <f>Activities_Sample[[#This Row],[Est median wage cost ]]/Activities_Sample[[#This Row],[Cost]]</f>
        <v>0.94898080789901562</v>
      </c>
      <c r="V51" s="14">
        <f>Activities_Sample[[#This Row],[Est average wage cost]]/Activities_Sample[[#This Row],[Cost]]</f>
        <v>0.94660710495612332</v>
      </c>
      <c r="W51" s="14">
        <f>+Activities_Sample[[#This Row],[Act Aide min]]/Activities_Sample[[#This Row],[Act Aide median]]</f>
        <v>0.85083398706259072</v>
      </c>
      <c r="X51" s="14">
        <f>+Activities_Sample[[#This Row],[Act Aide max]]/Activities_Sample[[#This Row],[Act Aide median]]</f>
        <v>1.139160740235857</v>
      </c>
      <c r="Y51" s="10">
        <f>VLOOKUP(A51,Summary!$1:$1048576,2,FALSE)</f>
        <v>3</v>
      </c>
    </row>
    <row r="52" spans="1:25" x14ac:dyDescent="0.55000000000000004">
      <c r="A52" s="10">
        <v>563</v>
      </c>
      <c r="B52" s="10" t="s">
        <v>54</v>
      </c>
      <c r="C52" s="10">
        <f>VLOOKUP($A52,'SAS Data'!$1:$1048576,MATCH(C$1,'SAS Data'!$3:$3,0),FALSE)</f>
        <v>2</v>
      </c>
      <c r="D52" s="10">
        <f>VLOOKUP($A52,'SAS Data'!$1:$1048576,MATCH(D$1,'SAS Data'!$3:$3,0),FALSE)</f>
        <v>0</v>
      </c>
      <c r="E52" s="10">
        <f t="shared" si="1"/>
        <v>2</v>
      </c>
      <c r="F52" s="11">
        <f>VLOOKUP($A52,'SAS Data'!$1:$1048576,MATCH(F$1,'SAS Data'!$3:$3,0),FALSE)</f>
        <v>26.203361344537814</v>
      </c>
      <c r="G52" s="12">
        <f>VLOOKUP($A52,'SAS Data'!$1:$1048576,MATCH(G$1,'SAS Data'!$3:$3,0),FALSE)</f>
        <v>1785</v>
      </c>
      <c r="H52" s="12">
        <f>+Activities_Sample[[#This Row],[Act Cph]]*Activities_Sample[[#This Row],[Act Hrsn]]</f>
        <v>46773</v>
      </c>
      <c r="I52" s="10">
        <f>COUNTIF('Act detail'!A:C,A52)</f>
        <v>2</v>
      </c>
      <c r="J52" s="13">
        <v>19.05</v>
      </c>
      <c r="K52" s="13">
        <v>19.05</v>
      </c>
      <c r="L52" s="13">
        <v>19.05</v>
      </c>
      <c r="M52" s="13">
        <v>19.05</v>
      </c>
      <c r="N52" s="37">
        <f>COUNTIFS('Act detail'!$A:$A,$A52,'Act detail'!$C:$C,"&lt;"&amp;L52)</f>
        <v>0</v>
      </c>
      <c r="O52" s="37">
        <f>COUNTIFS('Act detail'!$A:$A,$A52,'Act detail'!$C:$C,"&lt;"&amp;M52)</f>
        <v>0</v>
      </c>
      <c r="P52" s="37">
        <f>COUNTIFS('Act detail'!A:A,$A52,'Act detail'!$C:$C,"&lt;"&amp;$AC$1)</f>
        <v>2</v>
      </c>
      <c r="Q52" s="37">
        <f>COUNTIFS('Act detail'!A:A,$A52,'Act detail'!$C:$C,"&lt;"&amp;$AC$2)</f>
        <v>0</v>
      </c>
      <c r="R52" s="37">
        <f>COUNTIFS('Act detail'!A:A,$A52,'Act detail'!$C:$C,"&lt;"&amp;$AC$3)</f>
        <v>0</v>
      </c>
      <c r="S52" s="12">
        <f>+Activities_Sample[[#This Row],[Act Aide median]]*Activities_Sample[[#This Row],[Act Hrsn]]</f>
        <v>34004.25</v>
      </c>
      <c r="T52" s="12">
        <f>+Activities_Sample[[#This Row],[Act Aide average]]*Activities_Sample[[#This Row],[Act Hrsn]]</f>
        <v>34004.25</v>
      </c>
      <c r="U52" s="14">
        <f>Activities_Sample[[#This Row],[Est median wage cost ]]/Activities_Sample[[#This Row],[Cost]]</f>
        <v>0.72700596497979608</v>
      </c>
      <c r="V52" s="14">
        <f>Activities_Sample[[#This Row],[Est average wage cost]]/Activities_Sample[[#This Row],[Cost]]</f>
        <v>0.72700596497979608</v>
      </c>
      <c r="W52" s="14">
        <f>+Activities_Sample[[#This Row],[Act Aide min]]/Activities_Sample[[#This Row],[Act Aide median]]</f>
        <v>1</v>
      </c>
      <c r="X52" s="14">
        <f>+Activities_Sample[[#This Row],[Act Aide max]]/Activities_Sample[[#This Row],[Act Aide median]]</f>
        <v>1</v>
      </c>
      <c r="Y52" s="10">
        <f>VLOOKUP(A52,Summary!$1:$1048576,2,FALSE)</f>
        <v>2</v>
      </c>
    </row>
    <row r="53" spans="1:25" x14ac:dyDescent="0.55000000000000004">
      <c r="A53" s="10">
        <v>567</v>
      </c>
      <c r="B53" s="10" t="s">
        <v>54</v>
      </c>
      <c r="C53" s="10">
        <f>VLOOKUP($A53,'SAS Data'!$1:$1048576,MATCH(C$1,'SAS Data'!$3:$3,0),FALSE)</f>
        <v>5</v>
      </c>
      <c r="D53" s="10">
        <f>VLOOKUP($A53,'SAS Data'!$1:$1048576,MATCH(D$1,'SAS Data'!$3:$3,0),FALSE)</f>
        <v>1</v>
      </c>
      <c r="E53" s="10">
        <f t="shared" si="1"/>
        <v>6</v>
      </c>
      <c r="F53" s="11">
        <f>VLOOKUP($A53,'SAS Data'!$1:$1048576,MATCH(F$1,'SAS Data'!$3:$3,0),FALSE)</f>
        <v>19.213607753022281</v>
      </c>
      <c r="G53" s="12">
        <f>VLOOKUP($A53,'SAS Data'!$1:$1048576,MATCH(G$1,'SAS Data'!$3:$3,0),FALSE)</f>
        <v>10009</v>
      </c>
      <c r="H53" s="12">
        <f>+Activities_Sample[[#This Row],[Act Cph]]*Activities_Sample[[#This Row],[Act Hrsn]]</f>
        <v>192309</v>
      </c>
      <c r="I53" s="10">
        <f>COUNTIF('Act detail'!A:C,A53)</f>
        <v>5</v>
      </c>
      <c r="J53" s="13">
        <v>16.2</v>
      </c>
      <c r="K53" s="13">
        <v>17.690000000000001</v>
      </c>
      <c r="L53" s="13">
        <v>16.7</v>
      </c>
      <c r="M53" s="13">
        <v>16.698</v>
      </c>
      <c r="N53" s="37">
        <f>COUNTIFS('Act detail'!$A:$A,$A53,'Act detail'!$C:$C,"&lt;"&amp;L53)</f>
        <v>2</v>
      </c>
      <c r="O53" s="37">
        <f>COUNTIFS('Act detail'!$A:$A,$A53,'Act detail'!$C:$C,"&lt;"&amp;M53)</f>
        <v>2</v>
      </c>
      <c r="P53" s="37">
        <f>COUNTIFS('Act detail'!A:A,$A53,'Act detail'!$C:$C,"&lt;"&amp;$AC$1)</f>
        <v>5</v>
      </c>
      <c r="Q53" s="37">
        <f>COUNTIFS('Act detail'!A:A,$A53,'Act detail'!$C:$C,"&lt;"&amp;$AC$2)</f>
        <v>4</v>
      </c>
      <c r="R53" s="37">
        <f>COUNTIFS('Act detail'!A:A,$A53,'Act detail'!$C:$C,"&lt;"&amp;$AC$3)</f>
        <v>4</v>
      </c>
      <c r="S53" s="12">
        <f>+Activities_Sample[[#This Row],[Act Aide median]]*Activities_Sample[[#This Row],[Act Hrsn]]</f>
        <v>167150.29999999999</v>
      </c>
      <c r="T53" s="12">
        <f>+Activities_Sample[[#This Row],[Act Aide average]]*Activities_Sample[[#This Row],[Act Hrsn]]</f>
        <v>167130.28200000001</v>
      </c>
      <c r="U53" s="14">
        <f>Activities_Sample[[#This Row],[Est median wage cost ]]/Activities_Sample[[#This Row],[Cost]]</f>
        <v>0.86917564960558258</v>
      </c>
      <c r="V53" s="14">
        <f>Activities_Sample[[#This Row],[Est average wage cost]]/Activities_Sample[[#This Row],[Cost]]</f>
        <v>0.86907155671341441</v>
      </c>
      <c r="W53" s="14">
        <f>+Activities_Sample[[#This Row],[Act Aide min]]/Activities_Sample[[#This Row],[Act Aide median]]</f>
        <v>0.97005988023952094</v>
      </c>
      <c r="X53" s="14">
        <f>+Activities_Sample[[#This Row],[Act Aide max]]/Activities_Sample[[#This Row],[Act Aide median]]</f>
        <v>1.0592814371257486</v>
      </c>
      <c r="Y53" s="10">
        <f>VLOOKUP(A53,Summary!$1:$1048576,2,FALSE)</f>
        <v>3</v>
      </c>
    </row>
    <row r="54" spans="1:25" x14ac:dyDescent="0.55000000000000004">
      <c r="A54" s="10">
        <v>571</v>
      </c>
      <c r="B54" s="10" t="s">
        <v>54</v>
      </c>
      <c r="C54" s="10">
        <f>VLOOKUP($A54,'SAS Data'!$1:$1048576,MATCH(C$1,'SAS Data'!$3:$3,0),FALSE)</f>
        <v>4</v>
      </c>
      <c r="D54" s="10">
        <f>VLOOKUP($A54,'SAS Data'!$1:$1048576,MATCH(D$1,'SAS Data'!$3:$3,0),FALSE)</f>
        <v>1</v>
      </c>
      <c r="E54" s="10">
        <f t="shared" si="1"/>
        <v>5</v>
      </c>
      <c r="F54" s="11">
        <f>VLOOKUP($A54,'SAS Data'!$1:$1048576,MATCH(F$1,'SAS Data'!$3:$3,0),FALSE)</f>
        <v>17.273310023310025</v>
      </c>
      <c r="G54" s="12">
        <f>VLOOKUP($A54,'SAS Data'!$1:$1048576,MATCH(G$1,'SAS Data'!$3:$3,0),FALSE)</f>
        <v>8580</v>
      </c>
      <c r="H54" s="12">
        <f>+Activities_Sample[[#This Row],[Act Cph]]*Activities_Sample[[#This Row],[Act Hrsn]]</f>
        <v>148205</v>
      </c>
      <c r="I54" s="10">
        <f>COUNTIF('Act detail'!A:C,A54)</f>
        <v>4</v>
      </c>
      <c r="J54" s="13">
        <v>0</v>
      </c>
      <c r="K54" s="13">
        <v>0</v>
      </c>
      <c r="L54" s="13">
        <v>0</v>
      </c>
      <c r="M54" s="13">
        <v>0</v>
      </c>
      <c r="N54" s="37">
        <f>COUNTIFS('Act detail'!$A:$A,$A54,'Act detail'!$C:$C,"&lt;"&amp;L54)</f>
        <v>0</v>
      </c>
      <c r="O54" s="37">
        <f>COUNTIFS('Act detail'!$A:$A,$A54,'Act detail'!$C:$C,"&lt;"&amp;M54)</f>
        <v>0</v>
      </c>
      <c r="P54" s="37">
        <f>COUNTIFS('Act detail'!A:A,$A54,'Act detail'!$C:$C,"&lt;"&amp;$AC$1)</f>
        <v>4</v>
      </c>
      <c r="Q54" s="37">
        <f>COUNTIFS('Act detail'!A:A,$A54,'Act detail'!$C:$C,"&lt;"&amp;$AC$2)</f>
        <v>0</v>
      </c>
      <c r="R54" s="37">
        <f>COUNTIFS('Act detail'!A:A,$A54,'Act detail'!$C:$C,"&lt;"&amp;$AC$3)</f>
        <v>0</v>
      </c>
      <c r="S54" s="12">
        <f>+Activities_Sample[[#This Row],[Act Aide median]]*Activities_Sample[[#This Row],[Act Hrsn]]</f>
        <v>0</v>
      </c>
      <c r="T54" s="12">
        <f>+Activities_Sample[[#This Row],[Act Aide average]]*Activities_Sample[[#This Row],[Act Hrsn]]</f>
        <v>0</v>
      </c>
      <c r="U54" s="14">
        <f>Activities_Sample[[#This Row],[Est median wage cost ]]/Activities_Sample[[#This Row],[Cost]]</f>
        <v>0</v>
      </c>
      <c r="V54" s="14">
        <f>Activities_Sample[[#This Row],[Est average wage cost]]/Activities_Sample[[#This Row],[Cost]]</f>
        <v>0</v>
      </c>
      <c r="W54" s="14" t="e">
        <f>+Activities_Sample[[#This Row],[Act Aide min]]/Activities_Sample[[#This Row],[Act Aide median]]</f>
        <v>#DIV/0!</v>
      </c>
      <c r="X54" s="14" t="e">
        <f>+Activities_Sample[[#This Row],[Act Aide max]]/Activities_Sample[[#This Row],[Act Aide median]]</f>
        <v>#DIV/0!</v>
      </c>
      <c r="Y54" s="10">
        <f>VLOOKUP(A54,Summary!$1:$1048576,2,FALSE)</f>
        <v>2</v>
      </c>
    </row>
    <row r="55" spans="1:25" x14ac:dyDescent="0.55000000000000004">
      <c r="A55" s="10">
        <v>572</v>
      </c>
      <c r="B55" s="10" t="s">
        <v>54</v>
      </c>
      <c r="C55" s="10">
        <f>VLOOKUP($A55,'SAS Data'!$1:$1048576,MATCH(C$1,'SAS Data'!$3:$3,0),FALSE)</f>
        <v>2</v>
      </c>
      <c r="D55" s="10">
        <f>VLOOKUP($A55,'SAS Data'!$1:$1048576,MATCH(D$1,'SAS Data'!$3:$3,0),FALSE)</f>
        <v>4</v>
      </c>
      <c r="E55" s="10">
        <f t="shared" si="1"/>
        <v>6</v>
      </c>
      <c r="F55" s="11">
        <f>VLOOKUP($A55,'SAS Data'!$1:$1048576,MATCH(F$1,'SAS Data'!$3:$3,0),FALSE)</f>
        <v>18.698758292226568</v>
      </c>
      <c r="G55" s="12">
        <f>VLOOKUP($A55,'SAS Data'!$1:$1048576,MATCH(G$1,'SAS Data'!$3:$3,0),FALSE)</f>
        <v>5879</v>
      </c>
      <c r="H55" s="12">
        <f>+Activities_Sample[[#This Row],[Act Cph]]*Activities_Sample[[#This Row],[Act Hrsn]]</f>
        <v>109930</v>
      </c>
      <c r="I55" s="10">
        <f>COUNTIF('Act detail'!A:C,A55)</f>
        <v>3</v>
      </c>
      <c r="J55" s="13">
        <v>16.05</v>
      </c>
      <c r="K55" s="13">
        <v>16.05</v>
      </c>
      <c r="L55" s="13">
        <v>16.05</v>
      </c>
      <c r="M55" s="13">
        <v>16.05</v>
      </c>
      <c r="N55" s="37">
        <f>COUNTIFS('Act detail'!$A:$A,$A55,'Act detail'!$C:$C,"&lt;"&amp;L55)</f>
        <v>0</v>
      </c>
      <c r="O55" s="37">
        <f>COUNTIFS('Act detail'!$A:$A,$A55,'Act detail'!$C:$C,"&lt;"&amp;M55)</f>
        <v>0</v>
      </c>
      <c r="P55" s="37">
        <f>COUNTIFS('Act detail'!A:A,$A55,'Act detail'!$C:$C,"&lt;"&amp;$AC$1)</f>
        <v>3</v>
      </c>
      <c r="Q55" s="37">
        <f>COUNTIFS('Act detail'!A:A,$A55,'Act detail'!$C:$C,"&lt;"&amp;$AC$2)</f>
        <v>3</v>
      </c>
      <c r="R55" s="37">
        <f>COUNTIFS('Act detail'!A:A,$A55,'Act detail'!$C:$C,"&lt;"&amp;$AC$3)</f>
        <v>3</v>
      </c>
      <c r="S55" s="12">
        <f>+Activities_Sample[[#This Row],[Act Aide median]]*Activities_Sample[[#This Row],[Act Hrsn]]</f>
        <v>94357.95</v>
      </c>
      <c r="T55" s="12">
        <f>+Activities_Sample[[#This Row],[Act Aide average]]*Activities_Sample[[#This Row],[Act Hrsn]]</f>
        <v>94357.95</v>
      </c>
      <c r="U55" s="14">
        <f>Activities_Sample[[#This Row],[Est median wage cost ]]/Activities_Sample[[#This Row],[Cost]]</f>
        <v>0.85834576548712815</v>
      </c>
      <c r="V55" s="14">
        <f>Activities_Sample[[#This Row],[Est average wage cost]]/Activities_Sample[[#This Row],[Cost]]</f>
        <v>0.85834576548712815</v>
      </c>
      <c r="W55" s="14">
        <f>+Activities_Sample[[#This Row],[Act Aide min]]/Activities_Sample[[#This Row],[Act Aide median]]</f>
        <v>1</v>
      </c>
      <c r="X55" s="14">
        <f>+Activities_Sample[[#This Row],[Act Aide max]]/Activities_Sample[[#This Row],[Act Aide median]]</f>
        <v>1</v>
      </c>
      <c r="Y55" s="10">
        <f>VLOOKUP(A55,Summary!$1:$1048576,2,FALSE)</f>
        <v>2</v>
      </c>
    </row>
    <row r="56" spans="1:25" x14ac:dyDescent="0.55000000000000004">
      <c r="A56" s="10">
        <v>584</v>
      </c>
      <c r="B56" s="10" t="s">
        <v>54</v>
      </c>
      <c r="C56" s="10">
        <f>VLOOKUP($A56,'SAS Data'!$1:$1048576,MATCH(C$1,'SAS Data'!$3:$3,0),FALSE)</f>
        <v>2</v>
      </c>
      <c r="D56" s="10">
        <f>VLOOKUP($A56,'SAS Data'!$1:$1048576,MATCH(D$1,'SAS Data'!$3:$3,0),FALSE)</f>
        <v>0</v>
      </c>
      <c r="E56" s="10">
        <f t="shared" si="1"/>
        <v>2</v>
      </c>
      <c r="F56" s="11">
        <f>VLOOKUP($A56,'SAS Data'!$1:$1048576,MATCH(F$1,'SAS Data'!$3:$3,0),FALSE)</f>
        <v>18.006801068739374</v>
      </c>
      <c r="G56" s="12">
        <f>VLOOKUP($A56,'SAS Data'!$1:$1048576,MATCH(G$1,'SAS Data'!$3:$3,0),FALSE)</f>
        <v>4117</v>
      </c>
      <c r="H56" s="12">
        <f>+Activities_Sample[[#This Row],[Act Cph]]*Activities_Sample[[#This Row],[Act Hrsn]]</f>
        <v>74134</v>
      </c>
      <c r="I56" s="10">
        <f>COUNTIF('Act detail'!A:C,A56)</f>
        <v>2</v>
      </c>
      <c r="J56" s="13">
        <v>16</v>
      </c>
      <c r="K56" s="13">
        <v>16.25</v>
      </c>
      <c r="L56" s="13">
        <v>16.125</v>
      </c>
      <c r="M56" s="13">
        <v>16.125</v>
      </c>
      <c r="N56" s="37">
        <f>COUNTIFS('Act detail'!$A:$A,$A56,'Act detail'!$C:$C,"&lt;"&amp;L56)</f>
        <v>1</v>
      </c>
      <c r="O56" s="37">
        <f>COUNTIFS('Act detail'!$A:$A,$A56,'Act detail'!$C:$C,"&lt;"&amp;M56)</f>
        <v>1</v>
      </c>
      <c r="P56" s="37">
        <f>COUNTIFS('Act detail'!A:A,$A56,'Act detail'!$C:$C,"&lt;"&amp;$AC$1)</f>
        <v>2</v>
      </c>
      <c r="Q56" s="37">
        <f>COUNTIFS('Act detail'!A:A,$A56,'Act detail'!$C:$C,"&lt;"&amp;$AC$2)</f>
        <v>2</v>
      </c>
      <c r="R56" s="37">
        <f>COUNTIFS('Act detail'!A:A,$A56,'Act detail'!$C:$C,"&lt;"&amp;$AC$3)</f>
        <v>2</v>
      </c>
      <c r="S56" s="12">
        <f>+Activities_Sample[[#This Row],[Act Aide median]]*Activities_Sample[[#This Row],[Act Hrsn]]</f>
        <v>66386.625</v>
      </c>
      <c r="T56" s="12">
        <f>+Activities_Sample[[#This Row],[Act Aide average]]*Activities_Sample[[#This Row],[Act Hrsn]]</f>
        <v>66386.625</v>
      </c>
      <c r="U56" s="14">
        <f>Activities_Sample[[#This Row],[Est median wage cost ]]/Activities_Sample[[#This Row],[Cost]]</f>
        <v>0.89549498205951383</v>
      </c>
      <c r="V56" s="14">
        <f>Activities_Sample[[#This Row],[Est average wage cost]]/Activities_Sample[[#This Row],[Cost]]</f>
        <v>0.89549498205951383</v>
      </c>
      <c r="W56" s="14">
        <f>+Activities_Sample[[#This Row],[Act Aide min]]/Activities_Sample[[#This Row],[Act Aide median]]</f>
        <v>0.99224806201550386</v>
      </c>
      <c r="X56" s="14">
        <f>+Activities_Sample[[#This Row],[Act Aide max]]/Activities_Sample[[#This Row],[Act Aide median]]</f>
        <v>1.0077519379844961</v>
      </c>
      <c r="Y56" s="10">
        <f>VLOOKUP(A56,Summary!$1:$1048576,2,FALSE)</f>
        <v>3</v>
      </c>
    </row>
    <row r="57" spans="1:25" x14ac:dyDescent="0.55000000000000004">
      <c r="A57" s="10">
        <v>590</v>
      </c>
      <c r="B57" s="10" t="s">
        <v>54</v>
      </c>
      <c r="C57" s="10">
        <f>VLOOKUP($A57,'SAS Data'!$1:$1048576,MATCH(C$1,'SAS Data'!$3:$3,0),FALSE)</f>
        <v>2</v>
      </c>
      <c r="D57" s="10">
        <f>VLOOKUP($A57,'SAS Data'!$1:$1048576,MATCH(D$1,'SAS Data'!$3:$3,0),FALSE)</f>
        <v>1</v>
      </c>
      <c r="E57" s="10">
        <f t="shared" si="1"/>
        <v>3</v>
      </c>
      <c r="F57" s="11">
        <f>VLOOKUP($A57,'SAS Data'!$1:$1048576,MATCH(F$1,'SAS Data'!$3:$3,0),FALSE)</f>
        <v>24.686299345577371</v>
      </c>
      <c r="G57" s="12">
        <f>VLOOKUP($A57,'SAS Data'!$1:$1048576,MATCH(G$1,'SAS Data'!$3:$3,0),FALSE)</f>
        <v>4737</v>
      </c>
      <c r="H57" s="12">
        <f>+Activities_Sample[[#This Row],[Act Cph]]*Activities_Sample[[#This Row],[Act Hrsn]]</f>
        <v>116939</v>
      </c>
      <c r="I57" s="10">
        <f>COUNTIF('Act detail'!A:C,A57)</f>
        <v>7</v>
      </c>
      <c r="J57" s="13">
        <v>15.75</v>
      </c>
      <c r="K57" s="13">
        <v>21.77</v>
      </c>
      <c r="L57" s="13">
        <v>16</v>
      </c>
      <c r="M57" s="13">
        <v>16.752857142857142</v>
      </c>
      <c r="N57" s="37">
        <f>COUNTIFS('Act detail'!$A:$A,$A57,'Act detail'!$C:$C,"&lt;"&amp;L57)</f>
        <v>2</v>
      </c>
      <c r="O57" s="37">
        <f>COUNTIFS('Act detail'!$A:$A,$A57,'Act detail'!$C:$C,"&lt;"&amp;M57)</f>
        <v>6</v>
      </c>
      <c r="P57" s="37">
        <f>COUNTIFS('Act detail'!A:A,$A57,'Act detail'!$C:$C,"&lt;"&amp;$AC$1)</f>
        <v>7</v>
      </c>
      <c r="Q57" s="37">
        <f>COUNTIFS('Act detail'!A:A,$A57,'Act detail'!$C:$C,"&lt;"&amp;$AC$2)</f>
        <v>6</v>
      </c>
      <c r="R57" s="37">
        <f>COUNTIFS('Act detail'!A:A,$A57,'Act detail'!$C:$C,"&lt;"&amp;$AC$3)</f>
        <v>6</v>
      </c>
      <c r="S57" s="12">
        <f>+Activities_Sample[[#This Row],[Act Aide median]]*Activities_Sample[[#This Row],[Act Hrsn]]</f>
        <v>75792</v>
      </c>
      <c r="T57" s="12">
        <f>+Activities_Sample[[#This Row],[Act Aide average]]*Activities_Sample[[#This Row],[Act Hrsn]]</f>
        <v>79358.284285714282</v>
      </c>
      <c r="U57" s="14">
        <f>Activities_Sample[[#This Row],[Est median wage cost ]]/Activities_Sample[[#This Row],[Cost]]</f>
        <v>0.64813278717964062</v>
      </c>
      <c r="V57" s="14">
        <f>Activities_Sample[[#This Row],[Est average wage cost]]/Activities_Sample[[#This Row],[Cost]]</f>
        <v>0.67862974957639699</v>
      </c>
      <c r="W57" s="14">
        <f>+Activities_Sample[[#This Row],[Act Aide min]]/Activities_Sample[[#This Row],[Act Aide median]]</f>
        <v>0.984375</v>
      </c>
      <c r="X57" s="14">
        <f>+Activities_Sample[[#This Row],[Act Aide max]]/Activities_Sample[[#This Row],[Act Aide median]]</f>
        <v>1.360625</v>
      </c>
      <c r="Y57" s="10">
        <f>VLOOKUP(A57,Summary!$1:$1048576,2,FALSE)</f>
        <v>1</v>
      </c>
    </row>
    <row r="58" spans="1:25" x14ac:dyDescent="0.55000000000000004">
      <c r="A58" s="10">
        <v>597</v>
      </c>
      <c r="B58" s="10" t="s">
        <v>54</v>
      </c>
      <c r="C58" s="10">
        <f>VLOOKUP($A58,'SAS Data'!$1:$1048576,MATCH(C$1,'SAS Data'!$3:$3,0),FALSE)</f>
        <v>1</v>
      </c>
      <c r="D58" s="10">
        <f>VLOOKUP($A58,'SAS Data'!$1:$1048576,MATCH(D$1,'SAS Data'!$3:$3,0),FALSE)</f>
        <v>3</v>
      </c>
      <c r="E58" s="10">
        <f t="shared" si="1"/>
        <v>4</v>
      </c>
      <c r="F58" s="11">
        <f>VLOOKUP($A58,'SAS Data'!$1:$1048576,MATCH(F$1,'SAS Data'!$3:$3,0),FALSE)</f>
        <v>25.855429497568878</v>
      </c>
      <c r="G58" s="12">
        <f>VLOOKUP($A58,'SAS Data'!$1:$1048576,MATCH(G$1,'SAS Data'!$3:$3,0),FALSE)</f>
        <v>3085</v>
      </c>
      <c r="H58" s="12">
        <f>+Activities_Sample[[#This Row],[Act Cph]]*Activities_Sample[[#This Row],[Act Hrsn]]</f>
        <v>79763.999999999985</v>
      </c>
      <c r="I58" s="10">
        <f>COUNTIF('Act detail'!A:C,A58)</f>
        <v>1</v>
      </c>
      <c r="J58" s="13">
        <v>14.5</v>
      </c>
      <c r="K58" s="13">
        <v>14.5</v>
      </c>
      <c r="L58" s="13">
        <v>14.5</v>
      </c>
      <c r="M58" s="13">
        <v>14.5</v>
      </c>
      <c r="N58" s="37">
        <f>COUNTIFS('Act detail'!$A:$A,$A58,'Act detail'!$C:$C,"&lt;"&amp;L58)</f>
        <v>0</v>
      </c>
      <c r="O58" s="37">
        <f>COUNTIFS('Act detail'!$A:$A,$A58,'Act detail'!$C:$C,"&lt;"&amp;M58)</f>
        <v>0</v>
      </c>
      <c r="P58" s="37">
        <f>COUNTIFS('Act detail'!A:A,$A58,'Act detail'!$C:$C,"&lt;"&amp;$AC$1)</f>
        <v>1</v>
      </c>
      <c r="Q58" s="37">
        <f>COUNTIFS('Act detail'!A:A,$A58,'Act detail'!$C:$C,"&lt;"&amp;$AC$2)</f>
        <v>1</v>
      </c>
      <c r="R58" s="37">
        <f>COUNTIFS('Act detail'!A:A,$A58,'Act detail'!$C:$C,"&lt;"&amp;$AC$3)</f>
        <v>1</v>
      </c>
      <c r="S58" s="12">
        <f>+Activities_Sample[[#This Row],[Act Aide median]]*Activities_Sample[[#This Row],[Act Hrsn]]</f>
        <v>44732.5</v>
      </c>
      <c r="T58" s="12">
        <f>+Activities_Sample[[#This Row],[Act Aide average]]*Activities_Sample[[#This Row],[Act Hrsn]]</f>
        <v>44732.5</v>
      </c>
      <c r="U58" s="14">
        <f>Activities_Sample[[#This Row],[Est median wage cost ]]/Activities_Sample[[#This Row],[Cost]]</f>
        <v>0.56081064139210679</v>
      </c>
      <c r="V58" s="14">
        <f>Activities_Sample[[#This Row],[Est average wage cost]]/Activities_Sample[[#This Row],[Cost]]</f>
        <v>0.56081064139210679</v>
      </c>
      <c r="W58" s="14">
        <f>+Activities_Sample[[#This Row],[Act Aide min]]/Activities_Sample[[#This Row],[Act Aide median]]</f>
        <v>1</v>
      </c>
      <c r="X58" s="14">
        <f>+Activities_Sample[[#This Row],[Act Aide max]]/Activities_Sample[[#This Row],[Act Aide median]]</f>
        <v>1</v>
      </c>
      <c r="Y58" s="10">
        <f>VLOOKUP(A58,Summary!$1:$1048576,2,FALSE)</f>
        <v>1</v>
      </c>
    </row>
    <row r="59" spans="1:25" x14ac:dyDescent="0.55000000000000004">
      <c r="A59" s="10">
        <v>604</v>
      </c>
      <c r="B59" s="10" t="s">
        <v>54</v>
      </c>
      <c r="C59" s="10">
        <f>VLOOKUP($A59,'SAS Data'!$1:$1048576,MATCH(C$1,'SAS Data'!$3:$3,0),FALSE)</f>
        <v>2</v>
      </c>
      <c r="D59" s="10">
        <f>VLOOKUP($A59,'SAS Data'!$1:$1048576,MATCH(D$1,'SAS Data'!$3:$3,0),FALSE)</f>
        <v>2</v>
      </c>
      <c r="E59" s="10">
        <f t="shared" si="1"/>
        <v>4</v>
      </c>
      <c r="F59" s="11">
        <f>VLOOKUP($A59,'SAS Data'!$1:$1048576,MATCH(F$1,'SAS Data'!$3:$3,0),FALSE)</f>
        <v>19.323939881910896</v>
      </c>
      <c r="G59" s="12">
        <f>VLOOKUP($A59,'SAS Data'!$1:$1048576,MATCH(G$1,'SAS Data'!$3:$3,0),FALSE)</f>
        <v>7452</v>
      </c>
      <c r="H59" s="12">
        <f>+Activities_Sample[[#This Row],[Act Cph]]*Activities_Sample[[#This Row],[Act Hrsn]]</f>
        <v>144002</v>
      </c>
      <c r="I59" s="10">
        <f>COUNTIF('Act detail'!A:C,A59)</f>
        <v>3</v>
      </c>
      <c r="J59" s="13">
        <v>15.74</v>
      </c>
      <c r="K59" s="13">
        <v>15.74</v>
      </c>
      <c r="L59" s="13">
        <v>15.74</v>
      </c>
      <c r="M59" s="13">
        <v>15.74</v>
      </c>
      <c r="N59" s="37">
        <f>COUNTIFS('Act detail'!$A:$A,$A59,'Act detail'!$C:$C,"&lt;"&amp;L59)</f>
        <v>0</v>
      </c>
      <c r="O59" s="37">
        <f>COUNTIFS('Act detail'!$A:$A,$A59,'Act detail'!$C:$C,"&lt;"&amp;M59)</f>
        <v>0</v>
      </c>
      <c r="P59" s="37">
        <f>COUNTIFS('Act detail'!A:A,$A59,'Act detail'!$C:$C,"&lt;"&amp;$AC$1)</f>
        <v>3</v>
      </c>
      <c r="Q59" s="37">
        <f>COUNTIFS('Act detail'!A:A,$A59,'Act detail'!$C:$C,"&lt;"&amp;$AC$2)</f>
        <v>3</v>
      </c>
      <c r="R59" s="37">
        <f>COUNTIFS('Act detail'!A:A,$A59,'Act detail'!$C:$C,"&lt;"&amp;$AC$3)</f>
        <v>3</v>
      </c>
      <c r="S59" s="12">
        <f>+Activities_Sample[[#This Row],[Act Aide median]]*Activities_Sample[[#This Row],[Act Hrsn]]</f>
        <v>117294.48</v>
      </c>
      <c r="T59" s="12">
        <f>+Activities_Sample[[#This Row],[Act Aide average]]*Activities_Sample[[#This Row],[Act Hrsn]]</f>
        <v>117294.48</v>
      </c>
      <c r="U59" s="14">
        <f>Activities_Sample[[#This Row],[Est median wage cost ]]/Activities_Sample[[#This Row],[Cost]]</f>
        <v>0.81453368703212448</v>
      </c>
      <c r="V59" s="14">
        <f>Activities_Sample[[#This Row],[Est average wage cost]]/Activities_Sample[[#This Row],[Cost]]</f>
        <v>0.81453368703212448</v>
      </c>
      <c r="W59" s="14">
        <f>+Activities_Sample[[#This Row],[Act Aide min]]/Activities_Sample[[#This Row],[Act Aide median]]</f>
        <v>1</v>
      </c>
      <c r="X59" s="14">
        <f>+Activities_Sample[[#This Row],[Act Aide max]]/Activities_Sample[[#This Row],[Act Aide median]]</f>
        <v>1</v>
      </c>
      <c r="Y59" s="10">
        <f>VLOOKUP(A59,Summary!$1:$1048576,2,FALSE)</f>
        <v>3</v>
      </c>
    </row>
    <row r="60" spans="1:25" x14ac:dyDescent="0.55000000000000004">
      <c r="A60" s="10">
        <v>606</v>
      </c>
      <c r="B60" s="10" t="s">
        <v>54</v>
      </c>
      <c r="C60" s="10">
        <f>VLOOKUP($A60,'SAS Data'!$1:$1048576,MATCH(C$1,'SAS Data'!$3:$3,0),FALSE)</f>
        <v>3</v>
      </c>
      <c r="D60" s="10">
        <f>VLOOKUP($A60,'SAS Data'!$1:$1048576,MATCH(D$1,'SAS Data'!$3:$3,0),FALSE)</f>
        <v>2</v>
      </c>
      <c r="E60" s="10">
        <f t="shared" si="1"/>
        <v>5</v>
      </c>
      <c r="F60" s="11">
        <f>VLOOKUP($A60,'SAS Data'!$1:$1048576,MATCH(F$1,'SAS Data'!$3:$3,0),FALSE)</f>
        <v>20.769004837595023</v>
      </c>
      <c r="G60" s="12">
        <f>VLOOKUP($A60,'SAS Data'!$1:$1048576,MATCH(G$1,'SAS Data'!$3:$3,0),FALSE)</f>
        <v>5788</v>
      </c>
      <c r="H60" s="12">
        <f>+Activities_Sample[[#This Row],[Act Cph]]*Activities_Sample[[#This Row],[Act Hrsn]]</f>
        <v>120211</v>
      </c>
      <c r="I60" s="10">
        <f>COUNTIF('Act detail'!A:C,A60)</f>
        <v>1</v>
      </c>
      <c r="J60" s="13">
        <v>17.649999999999999</v>
      </c>
      <c r="K60" s="13">
        <v>21.75</v>
      </c>
      <c r="L60" s="13">
        <v>20.62</v>
      </c>
      <c r="M60" s="13">
        <v>20.007999999999999</v>
      </c>
      <c r="N60" s="37">
        <f>COUNTIFS('Act detail'!$A:$A,$A60,'Act detail'!$C:$C,"&lt;"&amp;L60)</f>
        <v>0</v>
      </c>
      <c r="O60" s="37">
        <f>COUNTIFS('Act detail'!$A:$A,$A60,'Act detail'!$C:$C,"&lt;"&amp;M60)</f>
        <v>0</v>
      </c>
      <c r="P60" s="37">
        <f>COUNTIFS('Act detail'!A:A,$A60,'Act detail'!$C:$C,"&lt;"&amp;$AC$1)</f>
        <v>1</v>
      </c>
      <c r="Q60" s="37">
        <f>COUNTIFS('Act detail'!A:A,$A60,'Act detail'!$C:$C,"&lt;"&amp;$AC$2)</f>
        <v>0</v>
      </c>
      <c r="R60" s="37">
        <f>COUNTIFS('Act detail'!A:A,$A60,'Act detail'!$C:$C,"&lt;"&amp;$AC$3)</f>
        <v>0</v>
      </c>
      <c r="S60" s="12">
        <f>+Activities_Sample[[#This Row],[Act Aide median]]*Activities_Sample[[#This Row],[Act Hrsn]]</f>
        <v>119348.56000000001</v>
      </c>
      <c r="T60" s="12">
        <f>+Activities_Sample[[#This Row],[Act Aide average]]*Activities_Sample[[#This Row],[Act Hrsn]]</f>
        <v>115806.30399999999</v>
      </c>
      <c r="U60" s="14">
        <f>Activities_Sample[[#This Row],[Est median wage cost ]]/Activities_Sample[[#This Row],[Cost]]</f>
        <v>0.99282561496036148</v>
      </c>
      <c r="V60" s="14">
        <f>Activities_Sample[[#This Row],[Est average wage cost]]/Activities_Sample[[#This Row],[Cost]]</f>
        <v>0.96335862774621284</v>
      </c>
      <c r="W60" s="14">
        <f>+Activities_Sample[[#This Row],[Act Aide min]]/Activities_Sample[[#This Row],[Act Aide median]]</f>
        <v>0.85596508244422875</v>
      </c>
      <c r="X60" s="14">
        <f>+Activities_Sample[[#This Row],[Act Aide max]]/Activities_Sample[[#This Row],[Act Aide median]]</f>
        <v>1.0548011639185257</v>
      </c>
      <c r="Y60" s="10">
        <f>VLOOKUP(A60,Summary!$1:$1048576,2,FALSE)</f>
        <v>2</v>
      </c>
    </row>
    <row r="61" spans="1:25" x14ac:dyDescent="0.55000000000000004">
      <c r="A61" s="10">
        <v>622</v>
      </c>
      <c r="B61" s="10" t="s">
        <v>54</v>
      </c>
      <c r="C61" s="10">
        <f>VLOOKUP($A61,'SAS Data'!$1:$1048576,MATCH(C$1,'SAS Data'!$3:$3,0),FALSE)</f>
        <v>4</v>
      </c>
      <c r="D61" s="10">
        <f>VLOOKUP($A61,'SAS Data'!$1:$1048576,MATCH(D$1,'SAS Data'!$3:$3,0),FALSE)</f>
        <v>0</v>
      </c>
      <c r="E61" s="10">
        <f t="shared" si="1"/>
        <v>4</v>
      </c>
      <c r="F61" s="11">
        <f>VLOOKUP($A61,'SAS Data'!$1:$1048576,MATCH(F$1,'SAS Data'!$3:$3,0),FALSE)</f>
        <v>20.613342527150493</v>
      </c>
      <c r="G61" s="12">
        <f>VLOOKUP($A61,'SAS Data'!$1:$1048576,MATCH(G$1,'SAS Data'!$3:$3,0),FALSE)</f>
        <v>11602</v>
      </c>
      <c r="H61" s="12">
        <f>+Activities_Sample[[#This Row],[Act Cph]]*Activities_Sample[[#This Row],[Act Hrsn]]</f>
        <v>239156.00000000003</v>
      </c>
      <c r="I61" s="10">
        <f>COUNTIF('Act detail'!A:C,A61)</f>
        <v>8</v>
      </c>
      <c r="J61" s="13">
        <v>20</v>
      </c>
      <c r="K61" s="13">
        <v>22</v>
      </c>
      <c r="L61" s="13">
        <v>20.695</v>
      </c>
      <c r="M61" s="13">
        <v>20.826250000000002</v>
      </c>
      <c r="N61" s="37">
        <f>COUNTIFS('Act detail'!$A:$A,$A61,'Act detail'!$C:$C,"&lt;"&amp;L61)</f>
        <v>4</v>
      </c>
      <c r="O61" s="37">
        <f>COUNTIFS('Act detail'!$A:$A,$A61,'Act detail'!$C:$C,"&lt;"&amp;M61)</f>
        <v>4</v>
      </c>
      <c r="P61" s="37">
        <f>COUNTIFS('Act detail'!A:A,$A61,'Act detail'!$C:$C,"&lt;"&amp;$AC$1)</f>
        <v>8</v>
      </c>
      <c r="Q61" s="37">
        <f>COUNTIFS('Act detail'!A:A,$A61,'Act detail'!$C:$C,"&lt;"&amp;$AC$2)</f>
        <v>0</v>
      </c>
      <c r="R61" s="37">
        <f>COUNTIFS('Act detail'!A:A,$A61,'Act detail'!$C:$C,"&lt;"&amp;$AC$3)</f>
        <v>0</v>
      </c>
      <c r="S61" s="12">
        <f>+Activities_Sample[[#This Row],[Act Aide median]]*Activities_Sample[[#This Row],[Act Hrsn]]</f>
        <v>240103.39</v>
      </c>
      <c r="T61" s="12">
        <f>+Activities_Sample[[#This Row],[Act Aide average]]*Activities_Sample[[#This Row],[Act Hrsn]]</f>
        <v>241626.15250000003</v>
      </c>
      <c r="U61" s="14">
        <f>Activities_Sample[[#This Row],[Est median wage cost ]]/Activities_Sample[[#This Row],[Cost]]</f>
        <v>1.0039613892187524</v>
      </c>
      <c r="V61" s="14">
        <f>Activities_Sample[[#This Row],[Est average wage cost]]/Activities_Sample[[#This Row],[Cost]]</f>
        <v>1.0103286244125174</v>
      </c>
      <c r="W61" s="14">
        <f>+Activities_Sample[[#This Row],[Act Aide min]]/Activities_Sample[[#This Row],[Act Aide median]]</f>
        <v>0.96641700893935734</v>
      </c>
      <c r="X61" s="14">
        <f>+Activities_Sample[[#This Row],[Act Aide max]]/Activities_Sample[[#This Row],[Act Aide median]]</f>
        <v>1.0630587098332931</v>
      </c>
      <c r="Y61" s="10">
        <f>VLOOKUP(A61,Summary!$1:$1048576,2,FALSE)</f>
        <v>3</v>
      </c>
    </row>
    <row r="62" spans="1:25" x14ac:dyDescent="0.55000000000000004">
      <c r="A62" s="10">
        <v>624</v>
      </c>
      <c r="B62" s="10" t="s">
        <v>54</v>
      </c>
      <c r="C62" s="10">
        <f>VLOOKUP($A62,'SAS Data'!$1:$1048576,MATCH(C$1,'SAS Data'!$3:$3,0),FALSE)</f>
        <v>3</v>
      </c>
      <c r="D62" s="10">
        <f>VLOOKUP($A62,'SAS Data'!$1:$1048576,MATCH(D$1,'SAS Data'!$3:$3,0),FALSE)</f>
        <v>1</v>
      </c>
      <c r="E62" s="10">
        <f t="shared" si="1"/>
        <v>4</v>
      </c>
      <c r="F62" s="11">
        <f>VLOOKUP($A62,'SAS Data'!$1:$1048576,MATCH(F$1,'SAS Data'!$3:$3,0),FALSE)</f>
        <v>17.675675675675674</v>
      </c>
      <c r="G62" s="12">
        <f>VLOOKUP($A62,'SAS Data'!$1:$1048576,MATCH(G$1,'SAS Data'!$3:$3,0),FALSE)</f>
        <v>10323</v>
      </c>
      <c r="H62" s="12">
        <f>+Activities_Sample[[#This Row],[Act Cph]]*Activities_Sample[[#This Row],[Act Hrsn]]</f>
        <v>182465.99999999997</v>
      </c>
      <c r="I62" s="10">
        <f>COUNTIF('Act detail'!A:C,A62)</f>
        <v>5</v>
      </c>
      <c r="J62" s="13">
        <v>15</v>
      </c>
      <c r="K62" s="13">
        <v>20.88</v>
      </c>
      <c r="L62" s="13">
        <v>17</v>
      </c>
      <c r="M62" s="13">
        <v>17.095999999999997</v>
      </c>
      <c r="N62" s="37">
        <f>COUNTIFS('Act detail'!$A:$A,$A62,'Act detail'!$C:$C,"&lt;"&amp;L62)</f>
        <v>2</v>
      </c>
      <c r="O62" s="37">
        <f>COUNTIFS('Act detail'!$A:$A,$A62,'Act detail'!$C:$C,"&lt;"&amp;M62)</f>
        <v>3</v>
      </c>
      <c r="P62" s="37">
        <f>COUNTIFS('Act detail'!A:A,$A62,'Act detail'!$C:$C,"&lt;"&amp;$AC$1)</f>
        <v>5</v>
      </c>
      <c r="Q62" s="37">
        <f>COUNTIFS('Act detail'!A:A,$A62,'Act detail'!$C:$C,"&lt;"&amp;$AC$2)</f>
        <v>3</v>
      </c>
      <c r="R62" s="37">
        <f>COUNTIFS('Act detail'!A:A,$A62,'Act detail'!$C:$C,"&lt;"&amp;$AC$3)</f>
        <v>4</v>
      </c>
      <c r="S62" s="12">
        <f>+Activities_Sample[[#This Row],[Act Aide median]]*Activities_Sample[[#This Row],[Act Hrsn]]</f>
        <v>175491</v>
      </c>
      <c r="T62" s="12">
        <f>+Activities_Sample[[#This Row],[Act Aide average]]*Activities_Sample[[#This Row],[Act Hrsn]]</f>
        <v>176482.00799999997</v>
      </c>
      <c r="U62" s="14">
        <f>Activities_Sample[[#This Row],[Est median wage cost ]]/Activities_Sample[[#This Row],[Cost]]</f>
        <v>0.96177370030581055</v>
      </c>
      <c r="V62" s="14">
        <f>Activities_Sample[[#This Row],[Est average wage cost]]/Activities_Sample[[#This Row],[Cost]]</f>
        <v>0.96720489296636081</v>
      </c>
      <c r="W62" s="14">
        <f>+Activities_Sample[[#This Row],[Act Aide min]]/Activities_Sample[[#This Row],[Act Aide median]]</f>
        <v>0.88235294117647056</v>
      </c>
      <c r="X62" s="14">
        <f>+Activities_Sample[[#This Row],[Act Aide max]]/Activities_Sample[[#This Row],[Act Aide median]]</f>
        <v>1.2282352941176471</v>
      </c>
      <c r="Y62" s="10">
        <f>VLOOKUP(A62,Summary!$1:$1048576,2,FALSE)</f>
        <v>3</v>
      </c>
    </row>
    <row r="63" spans="1:25" x14ac:dyDescent="0.55000000000000004">
      <c r="A63" s="10">
        <v>642</v>
      </c>
      <c r="B63" s="10" t="s">
        <v>54</v>
      </c>
      <c r="C63" s="10">
        <f>VLOOKUP($A63,'SAS Data'!$1:$1048576,MATCH(C$1,'SAS Data'!$3:$3,0),FALSE)</f>
        <v>8</v>
      </c>
      <c r="D63" s="10">
        <f>VLOOKUP($A63,'SAS Data'!$1:$1048576,MATCH(D$1,'SAS Data'!$3:$3,0),FALSE)</f>
        <v>9</v>
      </c>
      <c r="E63" s="10">
        <f t="shared" si="1"/>
        <v>17</v>
      </c>
      <c r="F63" s="11">
        <f>VLOOKUP($A63,'SAS Data'!$1:$1048576,MATCH(F$1,'SAS Data'!$3:$3,0),FALSE)</f>
        <v>19.629087852038673</v>
      </c>
      <c r="G63" s="12">
        <f>VLOOKUP($A63,'SAS Data'!$1:$1048576,MATCH(G$1,'SAS Data'!$3:$3,0),FALSE)</f>
        <v>23790</v>
      </c>
      <c r="H63" s="12">
        <f>+Activities_Sample[[#This Row],[Act Cph]]*Activities_Sample[[#This Row],[Act Hrsn]]</f>
        <v>466976</v>
      </c>
      <c r="I63" s="10">
        <f>COUNTIF('Act detail'!A:C,A63)</f>
        <v>18</v>
      </c>
      <c r="J63" s="13">
        <v>16.829999999999998</v>
      </c>
      <c r="K63" s="13">
        <v>25</v>
      </c>
      <c r="L63" s="13">
        <v>17.34</v>
      </c>
      <c r="M63" s="13">
        <v>18.422777777777775</v>
      </c>
      <c r="N63" s="37">
        <f>COUNTIFS('Act detail'!$A:$A,$A63,'Act detail'!$C:$C,"&lt;"&amp;L63)</f>
        <v>8</v>
      </c>
      <c r="O63" s="37">
        <f>COUNTIFS('Act detail'!$A:$A,$A63,'Act detail'!$C:$C,"&lt;"&amp;M63)</f>
        <v>13</v>
      </c>
      <c r="P63" s="37">
        <f>COUNTIFS('Act detail'!A:A,$A63,'Act detail'!$C:$C,"&lt;"&amp;$AC$1)</f>
        <v>17</v>
      </c>
      <c r="Q63" s="37">
        <f>COUNTIFS('Act detail'!A:A,$A63,'Act detail'!$C:$C,"&lt;"&amp;$AC$2)</f>
        <v>8</v>
      </c>
      <c r="R63" s="37">
        <f>COUNTIFS('Act detail'!A:A,$A63,'Act detail'!$C:$C,"&lt;"&amp;$AC$3)</f>
        <v>10</v>
      </c>
      <c r="S63" s="12">
        <f>+Activities_Sample[[#This Row],[Act Aide median]]*Activities_Sample[[#This Row],[Act Hrsn]]</f>
        <v>412518.6</v>
      </c>
      <c r="T63" s="12">
        <f>+Activities_Sample[[#This Row],[Act Aide average]]*Activities_Sample[[#This Row],[Act Hrsn]]</f>
        <v>438277.88333333324</v>
      </c>
      <c r="U63" s="14">
        <f>Activities_Sample[[#This Row],[Est median wage cost ]]/Activities_Sample[[#This Row],[Cost]]</f>
        <v>0.8833828719248954</v>
      </c>
      <c r="V63" s="14">
        <f>Activities_Sample[[#This Row],[Est average wage cost]]/Activities_Sample[[#This Row],[Cost]]</f>
        <v>0.93854477175129614</v>
      </c>
      <c r="W63" s="14">
        <f>+Activities_Sample[[#This Row],[Act Aide min]]/Activities_Sample[[#This Row],[Act Aide median]]</f>
        <v>0.97058823529411753</v>
      </c>
      <c r="X63" s="14">
        <f>+Activities_Sample[[#This Row],[Act Aide max]]/Activities_Sample[[#This Row],[Act Aide median]]</f>
        <v>1.441753171856978</v>
      </c>
      <c r="Y63" s="10">
        <f>VLOOKUP(A63,Summary!$1:$1048576,2,FALSE)</f>
        <v>1</v>
      </c>
    </row>
    <row r="64" spans="1:25" x14ac:dyDescent="0.55000000000000004">
      <c r="A64" s="10">
        <v>646</v>
      </c>
      <c r="B64" s="10" t="s">
        <v>54</v>
      </c>
      <c r="C64" s="10">
        <f>VLOOKUP($A64,'SAS Data'!$1:$1048576,MATCH(C$1,'SAS Data'!$3:$3,0),FALSE)</f>
        <v>9</v>
      </c>
      <c r="D64" s="10">
        <f>VLOOKUP($A64,'SAS Data'!$1:$1048576,MATCH(D$1,'SAS Data'!$3:$3,0),FALSE)</f>
        <v>2</v>
      </c>
      <c r="E64" s="10">
        <f t="shared" si="1"/>
        <v>11</v>
      </c>
      <c r="F64" s="11">
        <f>VLOOKUP($A64,'SAS Data'!$1:$1048576,MATCH(F$1,'SAS Data'!$3:$3,0),FALSE)</f>
        <v>20.1133657554922</v>
      </c>
      <c r="G64" s="12">
        <f>VLOOKUP($A64,'SAS Data'!$1:$1048576,MATCH(G$1,'SAS Data'!$3:$3,0),FALSE)</f>
        <v>11926</v>
      </c>
      <c r="H64" s="12">
        <f>+Activities_Sample[[#This Row],[Act Cph]]*Activities_Sample[[#This Row],[Act Hrsn]]</f>
        <v>239871.99999999997</v>
      </c>
      <c r="I64" s="10">
        <f>COUNTIF('Act detail'!A:C,A64)</f>
        <v>9</v>
      </c>
      <c r="J64" s="13">
        <v>15.31</v>
      </c>
      <c r="K64" s="13">
        <v>22.36</v>
      </c>
      <c r="L64" s="13">
        <v>20.32</v>
      </c>
      <c r="M64" s="13">
        <v>19.556666666666665</v>
      </c>
      <c r="N64" s="37">
        <f>COUNTIFS('Act detail'!$A:$A,$A64,'Act detail'!$C:$C,"&lt;"&amp;L64)</f>
        <v>4</v>
      </c>
      <c r="O64" s="37">
        <f>COUNTIFS('Act detail'!$A:$A,$A64,'Act detail'!$C:$C,"&lt;"&amp;M64)</f>
        <v>3</v>
      </c>
      <c r="P64" s="37">
        <f>COUNTIFS('Act detail'!A:A,$A64,'Act detail'!$C:$C,"&lt;"&amp;$AC$1)</f>
        <v>9</v>
      </c>
      <c r="Q64" s="37">
        <f>COUNTIFS('Act detail'!A:A,$A64,'Act detail'!$C:$C,"&lt;"&amp;$AC$2)</f>
        <v>2</v>
      </c>
      <c r="R64" s="37">
        <f>COUNTIFS('Act detail'!A:A,$A64,'Act detail'!$C:$C,"&lt;"&amp;$AC$3)</f>
        <v>2</v>
      </c>
      <c r="S64" s="12">
        <f>+Activities_Sample[[#This Row],[Act Aide median]]*Activities_Sample[[#This Row],[Act Hrsn]]</f>
        <v>242336.32</v>
      </c>
      <c r="T64" s="12">
        <f>+Activities_Sample[[#This Row],[Act Aide average]]*Activities_Sample[[#This Row],[Act Hrsn]]</f>
        <v>233232.80666666664</v>
      </c>
      <c r="U64" s="14">
        <f>Activities_Sample[[#This Row],[Est median wage cost ]]/Activities_Sample[[#This Row],[Cost]]</f>
        <v>1.010273479188901</v>
      </c>
      <c r="V64" s="14">
        <f>Activities_Sample[[#This Row],[Est average wage cost]]/Activities_Sample[[#This Row],[Cost]]</f>
        <v>0.97232193280860901</v>
      </c>
      <c r="W64" s="14">
        <f>+Activities_Sample[[#This Row],[Act Aide min]]/Activities_Sample[[#This Row],[Act Aide median]]</f>
        <v>0.75344488188976377</v>
      </c>
      <c r="X64" s="14">
        <f>+Activities_Sample[[#This Row],[Act Aide max]]/Activities_Sample[[#This Row],[Act Aide median]]</f>
        <v>1.1003937007874016</v>
      </c>
      <c r="Y64" s="10">
        <f>VLOOKUP(A64,Summary!$1:$1048576,2,FALSE)</f>
        <v>3</v>
      </c>
    </row>
    <row r="65" spans="1:25" x14ac:dyDescent="0.55000000000000004">
      <c r="A65" s="10">
        <v>657</v>
      </c>
      <c r="B65" s="10" t="s">
        <v>54</v>
      </c>
      <c r="C65" s="10">
        <f>VLOOKUP($A65,'SAS Data'!$1:$1048576,MATCH(C$1,'SAS Data'!$3:$3,0),FALSE)</f>
        <v>1</v>
      </c>
      <c r="D65" s="10">
        <f>VLOOKUP($A65,'SAS Data'!$1:$1048576,MATCH(D$1,'SAS Data'!$3:$3,0),FALSE)</f>
        <v>2</v>
      </c>
      <c r="E65" s="10">
        <f t="shared" si="1"/>
        <v>3</v>
      </c>
      <c r="F65" s="11">
        <f>VLOOKUP($A65,'SAS Data'!$1:$1048576,MATCH(F$1,'SAS Data'!$3:$3,0),FALSE)</f>
        <v>23.144962239823169</v>
      </c>
      <c r="G65" s="12">
        <f>VLOOKUP($A65,'SAS Data'!$1:$1048576,MATCH(G$1,'SAS Data'!$3:$3,0),FALSE)</f>
        <v>5429</v>
      </c>
      <c r="H65" s="12">
        <f>+Activities_Sample[[#This Row],[Act Cph]]*Activities_Sample[[#This Row],[Act Hrsn]]</f>
        <v>125653.99999999999</v>
      </c>
      <c r="I65" s="10">
        <f>COUNTIF('Act detail'!A:C,A65)</f>
        <v>3</v>
      </c>
      <c r="J65" s="13">
        <v>17</v>
      </c>
      <c r="K65" s="13">
        <v>19.5</v>
      </c>
      <c r="L65" s="13">
        <v>17.5</v>
      </c>
      <c r="M65" s="13">
        <v>18</v>
      </c>
      <c r="N65" s="37">
        <f>COUNTIFS('Act detail'!$A:$A,$A65,'Act detail'!$C:$C,"&lt;"&amp;L65)</f>
        <v>1</v>
      </c>
      <c r="O65" s="37">
        <f>COUNTIFS('Act detail'!$A:$A,$A65,'Act detail'!$C:$C,"&lt;"&amp;M65)</f>
        <v>2</v>
      </c>
      <c r="P65" s="37">
        <f>COUNTIFS('Act detail'!A:A,$A65,'Act detail'!$C:$C,"&lt;"&amp;$AC$1)</f>
        <v>3</v>
      </c>
      <c r="Q65" s="37">
        <f>COUNTIFS('Act detail'!A:A,$A65,'Act detail'!$C:$C,"&lt;"&amp;$AC$2)</f>
        <v>1</v>
      </c>
      <c r="R65" s="37">
        <f>COUNTIFS('Act detail'!A:A,$A65,'Act detail'!$C:$C,"&lt;"&amp;$AC$3)</f>
        <v>1</v>
      </c>
      <c r="S65" s="12">
        <f>+Activities_Sample[[#This Row],[Act Aide median]]*Activities_Sample[[#This Row],[Act Hrsn]]</f>
        <v>95007.5</v>
      </c>
      <c r="T65" s="12">
        <f>+Activities_Sample[[#This Row],[Act Aide average]]*Activities_Sample[[#This Row],[Act Hrsn]]</f>
        <v>97722</v>
      </c>
      <c r="U65" s="14">
        <f>Activities_Sample[[#This Row],[Est median wage cost ]]/Activities_Sample[[#This Row],[Cost]]</f>
        <v>0.75610406353956106</v>
      </c>
      <c r="V65" s="14">
        <f>Activities_Sample[[#This Row],[Est average wage cost]]/Activities_Sample[[#This Row],[Cost]]</f>
        <v>0.77770703678354858</v>
      </c>
      <c r="W65" s="14">
        <f>+Activities_Sample[[#This Row],[Act Aide min]]/Activities_Sample[[#This Row],[Act Aide median]]</f>
        <v>0.97142857142857142</v>
      </c>
      <c r="X65" s="14">
        <f>+Activities_Sample[[#This Row],[Act Aide max]]/Activities_Sample[[#This Row],[Act Aide median]]</f>
        <v>1.1142857142857143</v>
      </c>
      <c r="Y65" s="10">
        <f>VLOOKUP(A65,Summary!$1:$1048576,2,FALSE)</f>
        <v>1</v>
      </c>
    </row>
    <row r="66" spans="1:25" x14ac:dyDescent="0.55000000000000004">
      <c r="A66" s="10">
        <v>658</v>
      </c>
      <c r="B66" s="10" t="s">
        <v>54</v>
      </c>
      <c r="C66" s="10">
        <f>VLOOKUP($A66,'SAS Data'!$1:$1048576,MATCH(C$1,'SAS Data'!$3:$3,0),FALSE)</f>
        <v>1</v>
      </c>
      <c r="D66" s="10">
        <f>VLOOKUP($A66,'SAS Data'!$1:$1048576,MATCH(D$1,'SAS Data'!$3:$3,0),FALSE)</f>
        <v>3</v>
      </c>
      <c r="E66" s="10">
        <f t="shared" si="1"/>
        <v>4</v>
      </c>
      <c r="F66" s="11">
        <f>VLOOKUP($A66,'SAS Data'!$1:$1048576,MATCH(F$1,'SAS Data'!$3:$3,0),FALSE)</f>
        <v>20.412962096396818</v>
      </c>
      <c r="G66" s="12">
        <f>VLOOKUP($A66,'SAS Data'!$1:$1048576,MATCH(G$1,'SAS Data'!$3:$3,0),FALSE)</f>
        <v>4274</v>
      </c>
      <c r="H66" s="12">
        <f>+Activities_Sample[[#This Row],[Act Cph]]*Activities_Sample[[#This Row],[Act Hrsn]]</f>
        <v>87245</v>
      </c>
      <c r="I66" s="10">
        <f>COUNTIF('Act detail'!A:C,A66)</f>
        <v>4</v>
      </c>
      <c r="J66" s="13">
        <v>12.55</v>
      </c>
      <c r="K66" s="13">
        <v>16.52</v>
      </c>
      <c r="L66" s="13">
        <v>13.904999999999999</v>
      </c>
      <c r="M66" s="13">
        <v>14.219999999999999</v>
      </c>
      <c r="N66" s="37">
        <f>COUNTIFS('Act detail'!$A:$A,$A66,'Act detail'!$C:$C,"&lt;"&amp;L66)</f>
        <v>2</v>
      </c>
      <c r="O66" s="37">
        <f>COUNTIFS('Act detail'!$A:$A,$A66,'Act detail'!$C:$C,"&lt;"&amp;M66)</f>
        <v>2</v>
      </c>
      <c r="P66" s="37">
        <f>COUNTIFS('Act detail'!A:A,$A66,'Act detail'!$C:$C,"&lt;"&amp;$AC$1)</f>
        <v>4</v>
      </c>
      <c r="Q66" s="37">
        <f>COUNTIFS('Act detail'!A:A,$A66,'Act detail'!$C:$C,"&lt;"&amp;$AC$2)</f>
        <v>4</v>
      </c>
      <c r="R66" s="37">
        <f>COUNTIFS('Act detail'!A:A,$A66,'Act detail'!$C:$C,"&lt;"&amp;$AC$3)</f>
        <v>4</v>
      </c>
      <c r="S66" s="12">
        <f>+Activities_Sample[[#This Row],[Act Aide median]]*Activities_Sample[[#This Row],[Act Hrsn]]</f>
        <v>59429.969999999994</v>
      </c>
      <c r="T66" s="12">
        <f>+Activities_Sample[[#This Row],[Act Aide average]]*Activities_Sample[[#This Row],[Act Hrsn]]</f>
        <v>60776.279999999992</v>
      </c>
      <c r="U66" s="14">
        <f>Activities_Sample[[#This Row],[Est median wage cost ]]/Activities_Sample[[#This Row],[Cost]]</f>
        <v>0.68118482434523464</v>
      </c>
      <c r="V66" s="14">
        <f>Activities_Sample[[#This Row],[Est average wage cost]]/Activities_Sample[[#This Row],[Cost]]</f>
        <v>0.69661619577053113</v>
      </c>
      <c r="W66" s="14">
        <f>+Activities_Sample[[#This Row],[Act Aide min]]/Activities_Sample[[#This Row],[Act Aide median]]</f>
        <v>0.90255303847536872</v>
      </c>
      <c r="X66" s="14">
        <f>+Activities_Sample[[#This Row],[Act Aide max]]/Activities_Sample[[#This Row],[Act Aide median]]</f>
        <v>1.188061848256023</v>
      </c>
      <c r="Y66" s="10">
        <f>VLOOKUP(A66,Summary!$1:$1048576,2,FALSE)</f>
        <v>1</v>
      </c>
    </row>
    <row r="67" spans="1:25" x14ac:dyDescent="0.55000000000000004">
      <c r="A67" s="10">
        <v>712</v>
      </c>
      <c r="B67" s="10" t="s">
        <v>54</v>
      </c>
      <c r="C67" s="10">
        <f>VLOOKUP($A67,'SAS Data'!$1:$1048576,MATCH(C$1,'SAS Data'!$3:$3,0),FALSE)</f>
        <v>3</v>
      </c>
      <c r="D67" s="10">
        <f>VLOOKUP($A67,'SAS Data'!$1:$1048576,MATCH(D$1,'SAS Data'!$3:$3,0),FALSE)</f>
        <v>0</v>
      </c>
      <c r="E67" s="10">
        <f t="shared" ref="E67:E98" si="2">SUM(C67:D67)</f>
        <v>3</v>
      </c>
      <c r="F67" s="11">
        <f>VLOOKUP($A67,'SAS Data'!$1:$1048576,MATCH(F$1,'SAS Data'!$3:$3,0),FALSE)</f>
        <v>23.159153500507319</v>
      </c>
      <c r="G67" s="12">
        <f>VLOOKUP($A67,'SAS Data'!$1:$1048576,MATCH(G$1,'SAS Data'!$3:$3,0),FALSE)</f>
        <v>6899</v>
      </c>
      <c r="H67" s="12">
        <f>+Activities_Sample[[#This Row],[Act Cph]]*Activities_Sample[[#This Row],[Act Hrsn]]</f>
        <v>159775</v>
      </c>
      <c r="I67" s="10">
        <f>COUNTIF('Act detail'!A:C,A67)</f>
        <v>2</v>
      </c>
      <c r="J67" s="13">
        <v>21.36</v>
      </c>
      <c r="K67" s="13">
        <v>21.36</v>
      </c>
      <c r="L67" s="13">
        <v>21.36</v>
      </c>
      <c r="M67" s="13">
        <v>21.36</v>
      </c>
      <c r="N67" s="37">
        <f>COUNTIFS('Act detail'!$A:$A,$A67,'Act detail'!$C:$C,"&lt;"&amp;L67)</f>
        <v>0</v>
      </c>
      <c r="O67" s="37">
        <f>COUNTIFS('Act detail'!$A:$A,$A67,'Act detail'!$C:$C,"&lt;"&amp;M67)</f>
        <v>0</v>
      </c>
      <c r="P67" s="37">
        <f>COUNTIFS('Act detail'!A:A,$A67,'Act detail'!$C:$C,"&lt;"&amp;$AC$1)</f>
        <v>2</v>
      </c>
      <c r="Q67" s="37">
        <f>COUNTIFS('Act detail'!A:A,$A67,'Act detail'!$C:$C,"&lt;"&amp;$AC$2)</f>
        <v>0</v>
      </c>
      <c r="R67" s="37">
        <f>COUNTIFS('Act detail'!A:A,$A67,'Act detail'!$C:$C,"&lt;"&amp;$AC$3)</f>
        <v>0</v>
      </c>
      <c r="S67" s="12">
        <f>+Activities_Sample[[#This Row],[Act Aide median]]*Activities_Sample[[#This Row],[Act Hrsn]]</f>
        <v>147362.63999999998</v>
      </c>
      <c r="T67" s="12">
        <f>+Activities_Sample[[#This Row],[Act Aide average]]*Activities_Sample[[#This Row],[Act Hrsn]]</f>
        <v>147362.63999999998</v>
      </c>
      <c r="U67" s="14">
        <f>Activities_Sample[[#This Row],[Est median wage cost ]]/Activities_Sample[[#This Row],[Cost]]</f>
        <v>0.92231350336410567</v>
      </c>
      <c r="V67" s="14">
        <f>Activities_Sample[[#This Row],[Est average wage cost]]/Activities_Sample[[#This Row],[Cost]]</f>
        <v>0.92231350336410567</v>
      </c>
      <c r="W67" s="14">
        <f>+Activities_Sample[[#This Row],[Act Aide min]]/Activities_Sample[[#This Row],[Act Aide median]]</f>
        <v>1</v>
      </c>
      <c r="X67" s="14">
        <f>+Activities_Sample[[#This Row],[Act Aide max]]/Activities_Sample[[#This Row],[Act Aide median]]</f>
        <v>1</v>
      </c>
      <c r="Y67" s="10">
        <f>VLOOKUP(A67,Summary!$1:$1048576,2,FALSE)</f>
        <v>3</v>
      </c>
    </row>
    <row r="68" spans="1:25" x14ac:dyDescent="0.55000000000000004">
      <c r="A68" s="10">
        <v>718</v>
      </c>
      <c r="B68" s="10" t="s">
        <v>54</v>
      </c>
      <c r="C68" s="10">
        <f>VLOOKUP($A68,'SAS Data'!$1:$1048576,MATCH(C$1,'SAS Data'!$3:$3,0),FALSE)</f>
        <v>5</v>
      </c>
      <c r="D68" s="10">
        <f>VLOOKUP($A68,'SAS Data'!$1:$1048576,MATCH(D$1,'SAS Data'!$3:$3,0),FALSE)</f>
        <v>0</v>
      </c>
      <c r="E68" s="10">
        <f t="shared" si="2"/>
        <v>5</v>
      </c>
      <c r="F68" s="11">
        <f>VLOOKUP($A68,'SAS Data'!$1:$1048576,MATCH(F$1,'SAS Data'!$3:$3,0),FALSE)</f>
        <v>25.323051474165613</v>
      </c>
      <c r="G68" s="12">
        <f>VLOOKUP($A68,'SAS Data'!$1:$1048576,MATCH(G$1,'SAS Data'!$3:$3,0),FALSE)</f>
        <v>10277</v>
      </c>
      <c r="H68" s="12">
        <f>+Activities_Sample[[#This Row],[Act Cph]]*Activities_Sample[[#This Row],[Act Hrsn]]</f>
        <v>260245</v>
      </c>
      <c r="I68" s="10">
        <f>COUNTIF('Act detail'!A:C,A68)</f>
        <v>7</v>
      </c>
      <c r="J68" s="13">
        <v>16.73</v>
      </c>
      <c r="K68" s="13">
        <v>21.77</v>
      </c>
      <c r="L68" s="13">
        <v>20.77</v>
      </c>
      <c r="M68" s="13">
        <v>19.991428571428571</v>
      </c>
      <c r="N68" s="37">
        <f>COUNTIFS('Act detail'!$A:$A,$A68,'Act detail'!$C:$C,"&lt;"&amp;L68)</f>
        <v>3</v>
      </c>
      <c r="O68" s="37">
        <f>COUNTIFS('Act detail'!$A:$A,$A68,'Act detail'!$C:$C,"&lt;"&amp;M68)</f>
        <v>3</v>
      </c>
      <c r="P68" s="37">
        <f>COUNTIFS('Act detail'!A:A,$A68,'Act detail'!$C:$C,"&lt;"&amp;$AC$1)</f>
        <v>7</v>
      </c>
      <c r="Q68" s="37">
        <f>COUNTIFS('Act detail'!A:A,$A68,'Act detail'!$C:$C,"&lt;"&amp;$AC$2)</f>
        <v>1</v>
      </c>
      <c r="R68" s="37">
        <f>COUNTIFS('Act detail'!A:A,$A68,'Act detail'!$C:$C,"&lt;"&amp;$AC$3)</f>
        <v>1</v>
      </c>
      <c r="S68" s="12">
        <f>+Activities_Sample[[#This Row],[Act Aide median]]*Activities_Sample[[#This Row],[Act Hrsn]]</f>
        <v>213453.29</v>
      </c>
      <c r="T68" s="12">
        <f>+Activities_Sample[[#This Row],[Act Aide average]]*Activities_Sample[[#This Row],[Act Hrsn]]</f>
        <v>205451.91142857142</v>
      </c>
      <c r="U68" s="14">
        <f>Activities_Sample[[#This Row],[Est median wage cost ]]/Activities_Sample[[#This Row],[Cost]]</f>
        <v>0.82020131030375232</v>
      </c>
      <c r="V68" s="14">
        <f>Activities_Sample[[#This Row],[Est average wage cost]]/Activities_Sample[[#This Row],[Cost]]</f>
        <v>0.78945574911553118</v>
      </c>
      <c r="W68" s="14">
        <f>+Activities_Sample[[#This Row],[Act Aide min]]/Activities_Sample[[#This Row],[Act Aide median]]</f>
        <v>0.80548868560423692</v>
      </c>
      <c r="X68" s="14">
        <f>+Activities_Sample[[#This Row],[Act Aide max]]/Activities_Sample[[#This Row],[Act Aide median]]</f>
        <v>1.0481463649494462</v>
      </c>
      <c r="Y68" s="10">
        <f>VLOOKUP(A68,Summary!$1:$1048576,2,FALSE)</f>
        <v>2</v>
      </c>
    </row>
    <row r="69" spans="1:25" x14ac:dyDescent="0.55000000000000004">
      <c r="A69" s="10">
        <v>726</v>
      </c>
      <c r="B69" s="10" t="s">
        <v>54</v>
      </c>
      <c r="C69" s="10">
        <f>VLOOKUP($A69,'SAS Data'!$1:$1048576,MATCH(C$1,'SAS Data'!$3:$3,0),FALSE)</f>
        <v>2</v>
      </c>
      <c r="D69" s="10">
        <f>VLOOKUP($A69,'SAS Data'!$1:$1048576,MATCH(D$1,'SAS Data'!$3:$3,0),FALSE)</f>
        <v>1</v>
      </c>
      <c r="E69" s="10">
        <f t="shared" si="2"/>
        <v>3</v>
      </c>
      <c r="F69" s="11">
        <f>VLOOKUP($A69,'SAS Data'!$1:$1048576,MATCH(F$1,'SAS Data'!$3:$3,0),FALSE)</f>
        <v>18.629005409904288</v>
      </c>
      <c r="G69" s="12">
        <f>VLOOKUP($A69,'SAS Data'!$1:$1048576,MATCH(G$1,'SAS Data'!$3:$3,0),FALSE)</f>
        <v>4806</v>
      </c>
      <c r="H69" s="12">
        <f>+Activities_Sample[[#This Row],[Act Cph]]*Activities_Sample[[#This Row],[Act Hrsn]]</f>
        <v>89531</v>
      </c>
      <c r="I69" s="10">
        <f>COUNTIF('Act detail'!A:C,A69)</f>
        <v>2</v>
      </c>
      <c r="J69" s="13">
        <v>15.57</v>
      </c>
      <c r="K69" s="13">
        <v>17.77</v>
      </c>
      <c r="L69" s="13">
        <v>16.670000000000002</v>
      </c>
      <c r="M69" s="13">
        <v>16.670000000000002</v>
      </c>
      <c r="N69" s="37">
        <f>COUNTIFS('Act detail'!$A:$A,$A69,'Act detail'!$C:$C,"&lt;"&amp;L69)</f>
        <v>1</v>
      </c>
      <c r="O69" s="37">
        <f>COUNTIFS('Act detail'!$A:$A,$A69,'Act detail'!$C:$C,"&lt;"&amp;M69)</f>
        <v>1</v>
      </c>
      <c r="P69" s="37">
        <f>COUNTIFS('Act detail'!A:A,$A69,'Act detail'!$C:$C,"&lt;"&amp;$AC$1)</f>
        <v>2</v>
      </c>
      <c r="Q69" s="37">
        <f>COUNTIFS('Act detail'!A:A,$A69,'Act detail'!$C:$C,"&lt;"&amp;$AC$2)</f>
        <v>1</v>
      </c>
      <c r="R69" s="37">
        <f>COUNTIFS('Act detail'!A:A,$A69,'Act detail'!$C:$C,"&lt;"&amp;$AC$3)</f>
        <v>1</v>
      </c>
      <c r="S69" s="12">
        <f>+Activities_Sample[[#This Row],[Act Aide median]]*Activities_Sample[[#This Row],[Act Hrsn]]</f>
        <v>80116.02</v>
      </c>
      <c r="T69" s="12">
        <f>+Activities_Sample[[#This Row],[Act Aide average]]*Activities_Sample[[#This Row],[Act Hrsn]]</f>
        <v>80116.02</v>
      </c>
      <c r="U69" s="14">
        <f>Activities_Sample[[#This Row],[Est median wage cost ]]/Activities_Sample[[#This Row],[Cost]]</f>
        <v>0.89484111648479303</v>
      </c>
      <c r="V69" s="14">
        <f>Activities_Sample[[#This Row],[Est average wage cost]]/Activities_Sample[[#This Row],[Cost]]</f>
        <v>0.89484111648479303</v>
      </c>
      <c r="W69" s="14">
        <f>+Activities_Sample[[#This Row],[Act Aide min]]/Activities_Sample[[#This Row],[Act Aide median]]</f>
        <v>0.93401319736052779</v>
      </c>
      <c r="X69" s="14">
        <f>+Activities_Sample[[#This Row],[Act Aide max]]/Activities_Sample[[#This Row],[Act Aide median]]</f>
        <v>1.0659868026394719</v>
      </c>
      <c r="Y69" s="10">
        <f>VLOOKUP(A69,Summary!$1:$1048576,2,FALSE)</f>
        <v>3</v>
      </c>
    </row>
    <row r="70" spans="1:25" x14ac:dyDescent="0.55000000000000004">
      <c r="A70" s="10">
        <v>728</v>
      </c>
      <c r="B70" s="10" t="s">
        <v>54</v>
      </c>
      <c r="C70" s="10">
        <f>VLOOKUP($A70,'SAS Data'!$1:$1048576,MATCH(C$1,'SAS Data'!$3:$3,0),FALSE)</f>
        <v>1</v>
      </c>
      <c r="D70" s="10">
        <f>VLOOKUP($A70,'SAS Data'!$1:$1048576,MATCH(D$1,'SAS Data'!$3:$3,0),FALSE)</f>
        <v>1</v>
      </c>
      <c r="E70" s="10">
        <f t="shared" si="2"/>
        <v>2</v>
      </c>
      <c r="F70" s="11">
        <f>VLOOKUP($A70,'SAS Data'!$1:$1048576,MATCH(F$1,'SAS Data'!$3:$3,0),FALSE)</f>
        <v>16.030272452068616</v>
      </c>
      <c r="G70" s="12">
        <f>VLOOKUP($A70,'SAS Data'!$1:$1048576,MATCH(G$1,'SAS Data'!$3:$3,0),FALSE)</f>
        <v>4955</v>
      </c>
      <c r="H70" s="12">
        <f>+Activities_Sample[[#This Row],[Act Cph]]*Activities_Sample[[#This Row],[Act Hrsn]]</f>
        <v>79429.999999999985</v>
      </c>
      <c r="I70" s="10">
        <f>COUNTIF('Act detail'!A:C,A70)</f>
        <v>1</v>
      </c>
      <c r="J70" s="13">
        <v>15.06</v>
      </c>
      <c r="K70" s="13">
        <v>15.06</v>
      </c>
      <c r="L70" s="13">
        <v>15.06</v>
      </c>
      <c r="M70" s="13">
        <v>15.06</v>
      </c>
      <c r="N70" s="37">
        <f>COUNTIFS('Act detail'!$A:$A,$A70,'Act detail'!$C:$C,"&lt;"&amp;L70)</f>
        <v>0</v>
      </c>
      <c r="O70" s="37">
        <f>COUNTIFS('Act detail'!$A:$A,$A70,'Act detail'!$C:$C,"&lt;"&amp;M70)</f>
        <v>0</v>
      </c>
      <c r="P70" s="37">
        <f>COUNTIFS('Act detail'!A:A,$A70,'Act detail'!$C:$C,"&lt;"&amp;$AC$1)</f>
        <v>1</v>
      </c>
      <c r="Q70" s="37">
        <f>COUNTIFS('Act detail'!A:A,$A70,'Act detail'!$C:$C,"&lt;"&amp;$AC$2)</f>
        <v>1</v>
      </c>
      <c r="R70" s="37">
        <f>COUNTIFS('Act detail'!A:A,$A70,'Act detail'!$C:$C,"&lt;"&amp;$AC$3)</f>
        <v>1</v>
      </c>
      <c r="S70" s="12">
        <f>+Activities_Sample[[#This Row],[Act Aide median]]*Activities_Sample[[#This Row],[Act Hrsn]]</f>
        <v>74622.3</v>
      </c>
      <c r="T70" s="12">
        <f>+Activities_Sample[[#This Row],[Act Aide average]]*Activities_Sample[[#This Row],[Act Hrsn]]</f>
        <v>74622.3</v>
      </c>
      <c r="U70" s="14">
        <f>Activities_Sample[[#This Row],[Est median wage cost ]]/Activities_Sample[[#This Row],[Cost]]</f>
        <v>0.93947249150195167</v>
      </c>
      <c r="V70" s="14">
        <f>Activities_Sample[[#This Row],[Est average wage cost]]/Activities_Sample[[#This Row],[Cost]]</f>
        <v>0.93947249150195167</v>
      </c>
      <c r="W70" s="14">
        <f>+Activities_Sample[[#This Row],[Act Aide min]]/Activities_Sample[[#This Row],[Act Aide median]]</f>
        <v>1</v>
      </c>
      <c r="X70" s="14">
        <f>+Activities_Sample[[#This Row],[Act Aide max]]/Activities_Sample[[#This Row],[Act Aide median]]</f>
        <v>1</v>
      </c>
      <c r="Y70" s="10">
        <f>VLOOKUP(A70,Summary!$1:$1048576,2,FALSE)</f>
        <v>3</v>
      </c>
    </row>
    <row r="71" spans="1:25" x14ac:dyDescent="0.55000000000000004">
      <c r="A71" s="10">
        <v>738</v>
      </c>
      <c r="B71" s="10" t="s">
        <v>54</v>
      </c>
      <c r="C71" s="10">
        <f>VLOOKUP($A71,'SAS Data'!$1:$1048576,MATCH(C$1,'SAS Data'!$3:$3,0),FALSE)</f>
        <v>2</v>
      </c>
      <c r="D71" s="10">
        <f>VLOOKUP($A71,'SAS Data'!$1:$1048576,MATCH(D$1,'SAS Data'!$3:$3,0),FALSE)</f>
        <v>0</v>
      </c>
      <c r="E71" s="10">
        <f t="shared" si="2"/>
        <v>2</v>
      </c>
      <c r="F71" s="11">
        <f>VLOOKUP($A71,'SAS Data'!$1:$1048576,MATCH(F$1,'SAS Data'!$3:$3,0),FALSE)</f>
        <v>18.878251541968353</v>
      </c>
      <c r="G71" s="12">
        <f>VLOOKUP($A71,'SAS Data'!$1:$1048576,MATCH(G$1,'SAS Data'!$3:$3,0),FALSE)</f>
        <v>3729</v>
      </c>
      <c r="H71" s="12">
        <f>+Activities_Sample[[#This Row],[Act Cph]]*Activities_Sample[[#This Row],[Act Hrsn]]</f>
        <v>70396.999999999985</v>
      </c>
      <c r="I71" s="10">
        <f>COUNTIF('Act detail'!A:C,A71)</f>
        <v>1</v>
      </c>
      <c r="J71" s="13">
        <v>13</v>
      </c>
      <c r="K71" s="13">
        <v>13</v>
      </c>
      <c r="L71" s="13">
        <v>13</v>
      </c>
      <c r="M71" s="13">
        <v>13</v>
      </c>
      <c r="N71" s="37">
        <f>COUNTIFS('Act detail'!$A:$A,$A71,'Act detail'!$C:$C,"&lt;"&amp;L71)</f>
        <v>0</v>
      </c>
      <c r="O71" s="37">
        <f>COUNTIFS('Act detail'!$A:$A,$A71,'Act detail'!$C:$C,"&lt;"&amp;M71)</f>
        <v>0</v>
      </c>
      <c r="P71" s="37">
        <f>COUNTIFS('Act detail'!A:A,$A71,'Act detail'!$C:$C,"&lt;"&amp;$AC$1)</f>
        <v>1</v>
      </c>
      <c r="Q71" s="37">
        <f>COUNTIFS('Act detail'!A:A,$A71,'Act detail'!$C:$C,"&lt;"&amp;$AC$2)</f>
        <v>1</v>
      </c>
      <c r="R71" s="37">
        <f>COUNTIFS('Act detail'!A:A,$A71,'Act detail'!$C:$C,"&lt;"&amp;$AC$3)</f>
        <v>1</v>
      </c>
      <c r="S71" s="12">
        <f>+Activities_Sample[[#This Row],[Act Aide median]]*Activities_Sample[[#This Row],[Act Hrsn]]</f>
        <v>48477</v>
      </c>
      <c r="T71" s="12">
        <f>+Activities_Sample[[#This Row],[Act Aide average]]*Activities_Sample[[#This Row],[Act Hrsn]]</f>
        <v>48477</v>
      </c>
      <c r="U71" s="14">
        <f>Activities_Sample[[#This Row],[Est median wage cost ]]/Activities_Sample[[#This Row],[Cost]]</f>
        <v>0.68862309473415073</v>
      </c>
      <c r="V71" s="14">
        <f>Activities_Sample[[#This Row],[Est average wage cost]]/Activities_Sample[[#This Row],[Cost]]</f>
        <v>0.68862309473415073</v>
      </c>
      <c r="W71" s="14">
        <f>+Activities_Sample[[#This Row],[Act Aide min]]/Activities_Sample[[#This Row],[Act Aide median]]</f>
        <v>1</v>
      </c>
      <c r="X71" s="14">
        <f>+Activities_Sample[[#This Row],[Act Aide max]]/Activities_Sample[[#This Row],[Act Aide median]]</f>
        <v>1</v>
      </c>
      <c r="Y71" s="10">
        <f>VLOOKUP(A71,Summary!$1:$1048576,2,FALSE)</f>
        <v>2</v>
      </c>
    </row>
    <row r="72" spans="1:25" x14ac:dyDescent="0.55000000000000004">
      <c r="A72" s="10">
        <v>740</v>
      </c>
      <c r="B72" s="10" t="s">
        <v>54</v>
      </c>
      <c r="C72" s="10">
        <f>VLOOKUP($A72,'SAS Data'!$1:$1048576,MATCH(C$1,'SAS Data'!$3:$3,0),FALSE)</f>
        <v>2</v>
      </c>
      <c r="D72" s="10">
        <f>VLOOKUP($A72,'SAS Data'!$1:$1048576,MATCH(D$1,'SAS Data'!$3:$3,0),FALSE)</f>
        <v>2</v>
      </c>
      <c r="E72" s="10">
        <f t="shared" si="2"/>
        <v>4</v>
      </c>
      <c r="F72" s="11">
        <f>VLOOKUP($A72,'SAS Data'!$1:$1048576,MATCH(F$1,'SAS Data'!$3:$3,0),FALSE)</f>
        <v>15.975040916530279</v>
      </c>
      <c r="G72" s="12">
        <f>VLOOKUP($A72,'SAS Data'!$1:$1048576,MATCH(G$1,'SAS Data'!$3:$3,0),FALSE)</f>
        <v>9776</v>
      </c>
      <c r="H72" s="12">
        <f>+Activities_Sample[[#This Row],[Act Cph]]*Activities_Sample[[#This Row],[Act Hrsn]]</f>
        <v>156172</v>
      </c>
      <c r="I72" s="10">
        <f>COUNTIF('Act detail'!A:C,A72)</f>
        <v>9</v>
      </c>
      <c r="J72" s="13">
        <v>11.21</v>
      </c>
      <c r="K72" s="13">
        <v>16.28</v>
      </c>
      <c r="L72" s="13">
        <v>12</v>
      </c>
      <c r="M72" s="13">
        <v>12.99888888888889</v>
      </c>
      <c r="N72" s="37">
        <f>COUNTIFS('Act detail'!$A:$A,$A72,'Act detail'!$C:$C,"&lt;"&amp;L72)</f>
        <v>3</v>
      </c>
      <c r="O72" s="37">
        <f>COUNTIFS('Act detail'!$A:$A,$A72,'Act detail'!$C:$C,"&lt;"&amp;M72)</f>
        <v>5</v>
      </c>
      <c r="P72" s="37">
        <f>COUNTIFS('Act detail'!A:A,$A72,'Act detail'!$C:$C,"&lt;"&amp;$AC$1)</f>
        <v>9</v>
      </c>
      <c r="Q72" s="37">
        <f>COUNTIFS('Act detail'!A:A,$A72,'Act detail'!$C:$C,"&lt;"&amp;$AC$2)</f>
        <v>9</v>
      </c>
      <c r="R72" s="37">
        <f>COUNTIFS('Act detail'!A:A,$A72,'Act detail'!$C:$C,"&lt;"&amp;$AC$3)</f>
        <v>9</v>
      </c>
      <c r="S72" s="12">
        <f>+Activities_Sample[[#This Row],[Act Aide median]]*Activities_Sample[[#This Row],[Act Hrsn]]</f>
        <v>117312</v>
      </c>
      <c r="T72" s="12">
        <f>+Activities_Sample[[#This Row],[Act Aide average]]*Activities_Sample[[#This Row],[Act Hrsn]]</f>
        <v>127077.1377777778</v>
      </c>
      <c r="U72" s="14">
        <f>Activities_Sample[[#This Row],[Est median wage cost ]]/Activities_Sample[[#This Row],[Cost]]</f>
        <v>0.75117178495504955</v>
      </c>
      <c r="V72" s="14">
        <f>Activities_Sample[[#This Row],[Est average wage cost]]/Activities_Sample[[#This Row],[Cost]]</f>
        <v>0.81369988075825239</v>
      </c>
      <c r="W72" s="14">
        <f>+Activities_Sample[[#This Row],[Act Aide min]]/Activities_Sample[[#This Row],[Act Aide median]]</f>
        <v>0.9341666666666667</v>
      </c>
      <c r="X72" s="14">
        <f>+Activities_Sample[[#This Row],[Act Aide max]]/Activities_Sample[[#This Row],[Act Aide median]]</f>
        <v>1.3566666666666667</v>
      </c>
      <c r="Y72" s="10">
        <f>VLOOKUP(A72,Summary!$1:$1048576,2,FALSE)</f>
        <v>2</v>
      </c>
    </row>
    <row r="73" spans="1:25" x14ac:dyDescent="0.55000000000000004">
      <c r="A73" s="10">
        <v>756</v>
      </c>
      <c r="B73" s="10" t="s">
        <v>54</v>
      </c>
      <c r="C73" s="10">
        <f>VLOOKUP($A73,'SAS Data'!$1:$1048576,MATCH(C$1,'SAS Data'!$3:$3,0),FALSE)</f>
        <v>1</v>
      </c>
      <c r="D73" s="10">
        <f>VLOOKUP($A73,'SAS Data'!$1:$1048576,MATCH(D$1,'SAS Data'!$3:$3,0),FALSE)</f>
        <v>0</v>
      </c>
      <c r="E73" s="10">
        <f t="shared" si="2"/>
        <v>1</v>
      </c>
      <c r="F73" s="11">
        <f>VLOOKUP($A73,'SAS Data'!$1:$1048576,MATCH(F$1,'SAS Data'!$3:$3,0),FALSE)</f>
        <v>18.768699186991871</v>
      </c>
      <c r="G73" s="12">
        <f>VLOOKUP($A73,'SAS Data'!$1:$1048576,MATCH(G$1,'SAS Data'!$3:$3,0),FALSE)</f>
        <v>2460</v>
      </c>
      <c r="H73" s="12">
        <f>+Activities_Sample[[#This Row],[Act Cph]]*Activities_Sample[[#This Row],[Act Hrsn]]</f>
        <v>46171</v>
      </c>
      <c r="I73" s="10">
        <f>COUNTIF('Act detail'!A:C,A73)</f>
        <v>1</v>
      </c>
      <c r="J73" s="13">
        <v>17</v>
      </c>
      <c r="K73" s="13">
        <v>17</v>
      </c>
      <c r="L73" s="13">
        <v>17</v>
      </c>
      <c r="M73" s="13">
        <v>17</v>
      </c>
      <c r="N73" s="37">
        <f>COUNTIFS('Act detail'!$A:$A,$A73,'Act detail'!$C:$C,"&lt;"&amp;L73)</f>
        <v>0</v>
      </c>
      <c r="O73" s="37">
        <f>COUNTIFS('Act detail'!$A:$A,$A73,'Act detail'!$C:$C,"&lt;"&amp;M73)</f>
        <v>0</v>
      </c>
      <c r="P73" s="37">
        <f>COUNTIFS('Act detail'!A:A,$A73,'Act detail'!$C:$C,"&lt;"&amp;$AC$1)</f>
        <v>1</v>
      </c>
      <c r="Q73" s="37">
        <f>COUNTIFS('Act detail'!A:A,$A73,'Act detail'!$C:$C,"&lt;"&amp;$AC$2)</f>
        <v>1</v>
      </c>
      <c r="R73" s="37">
        <f>COUNTIFS('Act detail'!A:A,$A73,'Act detail'!$C:$C,"&lt;"&amp;$AC$3)</f>
        <v>1</v>
      </c>
      <c r="S73" s="12">
        <f>+Activities_Sample[[#This Row],[Act Aide median]]*Activities_Sample[[#This Row],[Act Hrsn]]</f>
        <v>41820</v>
      </c>
      <c r="T73" s="12">
        <f>+Activities_Sample[[#This Row],[Act Aide average]]*Activities_Sample[[#This Row],[Act Hrsn]]</f>
        <v>41820</v>
      </c>
      <c r="U73" s="14">
        <f>Activities_Sample[[#This Row],[Est median wage cost ]]/Activities_Sample[[#This Row],[Cost]]</f>
        <v>0.90576335795196117</v>
      </c>
      <c r="V73" s="14">
        <f>Activities_Sample[[#This Row],[Est average wage cost]]/Activities_Sample[[#This Row],[Cost]]</f>
        <v>0.90576335795196117</v>
      </c>
      <c r="W73" s="14">
        <f>+Activities_Sample[[#This Row],[Act Aide min]]/Activities_Sample[[#This Row],[Act Aide median]]</f>
        <v>1</v>
      </c>
      <c r="X73" s="14">
        <f>+Activities_Sample[[#This Row],[Act Aide max]]/Activities_Sample[[#This Row],[Act Aide median]]</f>
        <v>1</v>
      </c>
      <c r="Y73" s="10">
        <f>VLOOKUP(A73,Summary!$1:$1048576,2,FALSE)</f>
        <v>2</v>
      </c>
    </row>
    <row r="74" spans="1:25" x14ac:dyDescent="0.55000000000000004">
      <c r="A74" s="10">
        <v>766</v>
      </c>
      <c r="B74" s="10" t="s">
        <v>54</v>
      </c>
      <c r="C74" s="10">
        <f>VLOOKUP($A74,'SAS Data'!$1:$1048576,MATCH(C$1,'SAS Data'!$3:$3,0),FALSE)</f>
        <v>1</v>
      </c>
      <c r="D74" s="10">
        <f>VLOOKUP($A74,'SAS Data'!$1:$1048576,MATCH(D$1,'SAS Data'!$3:$3,0),FALSE)</f>
        <v>1</v>
      </c>
      <c r="E74" s="10">
        <f t="shared" si="2"/>
        <v>2</v>
      </c>
      <c r="F74" s="11">
        <f>VLOOKUP($A74,'SAS Data'!$1:$1048576,MATCH(F$1,'SAS Data'!$3:$3,0),FALSE)</f>
        <v>21.937687514424184</v>
      </c>
      <c r="G74" s="12">
        <f>VLOOKUP($A74,'SAS Data'!$1:$1048576,MATCH(G$1,'SAS Data'!$3:$3,0),FALSE)</f>
        <v>4333</v>
      </c>
      <c r="H74" s="12">
        <f>+Activities_Sample[[#This Row],[Act Cph]]*Activities_Sample[[#This Row],[Act Hrsn]]</f>
        <v>95055.999999999985</v>
      </c>
      <c r="I74" s="10">
        <f>COUNTIF('Act detail'!A:C,A74)</f>
        <v>4</v>
      </c>
      <c r="J74" s="13">
        <v>16.03</v>
      </c>
      <c r="K74" s="13">
        <v>19.829999999999998</v>
      </c>
      <c r="L74" s="13">
        <v>17.225000000000001</v>
      </c>
      <c r="M74" s="13">
        <v>17.577500000000001</v>
      </c>
      <c r="N74" s="37">
        <f>COUNTIFS('Act detail'!$A:$A,$A74,'Act detail'!$C:$C,"&lt;"&amp;L74)</f>
        <v>2</v>
      </c>
      <c r="O74" s="37">
        <f>COUNTIFS('Act detail'!$A:$A,$A74,'Act detail'!$C:$C,"&lt;"&amp;M74)</f>
        <v>2</v>
      </c>
      <c r="P74" s="37">
        <f>COUNTIFS('Act detail'!A:A,$A74,'Act detail'!$C:$C,"&lt;"&amp;$AC$1)</f>
        <v>4</v>
      </c>
      <c r="Q74" s="37">
        <f>COUNTIFS('Act detail'!A:A,$A74,'Act detail'!$C:$C,"&lt;"&amp;$AC$2)</f>
        <v>2</v>
      </c>
      <c r="R74" s="37">
        <f>COUNTIFS('Act detail'!A:A,$A74,'Act detail'!$C:$C,"&lt;"&amp;$AC$3)</f>
        <v>2</v>
      </c>
      <c r="S74" s="12">
        <f>+Activities_Sample[[#This Row],[Act Aide median]]*Activities_Sample[[#This Row],[Act Hrsn]]</f>
        <v>74635.925000000003</v>
      </c>
      <c r="T74" s="12">
        <f>+Activities_Sample[[#This Row],[Act Aide average]]*Activities_Sample[[#This Row],[Act Hrsn]]</f>
        <v>76163.307499999995</v>
      </c>
      <c r="U74" s="14">
        <f>Activities_Sample[[#This Row],[Est median wage cost ]]/Activities_Sample[[#This Row],[Cost]]</f>
        <v>0.7851784737417945</v>
      </c>
      <c r="V74" s="14">
        <f>Activities_Sample[[#This Row],[Est average wage cost]]/Activities_Sample[[#This Row],[Cost]]</f>
        <v>0.80124671246423174</v>
      </c>
      <c r="W74" s="14">
        <f>+Activities_Sample[[#This Row],[Act Aide min]]/Activities_Sample[[#This Row],[Act Aide median]]</f>
        <v>0.93062409288824377</v>
      </c>
      <c r="X74" s="14">
        <f>+Activities_Sample[[#This Row],[Act Aide max]]/Activities_Sample[[#This Row],[Act Aide median]]</f>
        <v>1.1512336719883889</v>
      </c>
      <c r="Y74" s="10">
        <f>VLOOKUP(A74,Summary!$1:$1048576,2,FALSE)</f>
        <v>2</v>
      </c>
    </row>
    <row r="75" spans="1:25" x14ac:dyDescent="0.55000000000000004">
      <c r="A75" s="10">
        <v>771</v>
      </c>
      <c r="B75" s="10" t="s">
        <v>54</v>
      </c>
      <c r="C75" s="10">
        <f>VLOOKUP($A75,'SAS Data'!$1:$1048576,MATCH(C$1,'SAS Data'!$3:$3,0),FALSE)</f>
        <v>1</v>
      </c>
      <c r="D75" s="10">
        <f>VLOOKUP($A75,'SAS Data'!$1:$1048576,MATCH(D$1,'SAS Data'!$3:$3,0),FALSE)</f>
        <v>2</v>
      </c>
      <c r="E75" s="10">
        <f t="shared" si="2"/>
        <v>3</v>
      </c>
      <c r="F75" s="11">
        <f>VLOOKUP($A75,'SAS Data'!$1:$1048576,MATCH(F$1,'SAS Data'!$3:$3,0),FALSE)</f>
        <v>19.771245059288539</v>
      </c>
      <c r="G75" s="12">
        <f>VLOOKUP($A75,'SAS Data'!$1:$1048576,MATCH(G$1,'SAS Data'!$3:$3,0),FALSE)</f>
        <v>4048</v>
      </c>
      <c r="H75" s="12">
        <f>+Activities_Sample[[#This Row],[Act Cph]]*Activities_Sample[[#This Row],[Act Hrsn]]</f>
        <v>80034</v>
      </c>
      <c r="I75" s="10">
        <f>COUNTIF('Act detail'!A:C,A75)</f>
        <v>6</v>
      </c>
      <c r="J75" s="13">
        <v>15.97</v>
      </c>
      <c r="K75" s="13">
        <v>19.010000000000002</v>
      </c>
      <c r="L75" s="13">
        <v>17.72</v>
      </c>
      <c r="M75" s="13">
        <v>17.53166666666667</v>
      </c>
      <c r="N75" s="37">
        <f>COUNTIFS('Act detail'!$A:$A,$A75,'Act detail'!$C:$C,"&lt;"&amp;L75)</f>
        <v>3</v>
      </c>
      <c r="O75" s="37">
        <f>COUNTIFS('Act detail'!$A:$A,$A75,'Act detail'!$C:$C,"&lt;"&amp;M75)</f>
        <v>3</v>
      </c>
      <c r="P75" s="37">
        <f>COUNTIFS('Act detail'!A:A,$A75,'Act detail'!$C:$C,"&lt;"&amp;$AC$1)</f>
        <v>6</v>
      </c>
      <c r="Q75" s="37">
        <f>COUNTIFS('Act detail'!A:A,$A75,'Act detail'!$C:$C,"&lt;"&amp;$AC$2)</f>
        <v>3</v>
      </c>
      <c r="R75" s="37">
        <f>COUNTIFS('Act detail'!A:A,$A75,'Act detail'!$C:$C,"&lt;"&amp;$AC$3)</f>
        <v>3</v>
      </c>
      <c r="S75" s="12">
        <f>+Activities_Sample[[#This Row],[Act Aide median]]*Activities_Sample[[#This Row],[Act Hrsn]]</f>
        <v>71730.559999999998</v>
      </c>
      <c r="T75" s="12">
        <f>+Activities_Sample[[#This Row],[Act Aide average]]*Activities_Sample[[#This Row],[Act Hrsn]]</f>
        <v>70968.186666666676</v>
      </c>
      <c r="U75" s="14">
        <f>Activities_Sample[[#This Row],[Est median wage cost ]]/Activities_Sample[[#This Row],[Cost]]</f>
        <v>0.89625109328535368</v>
      </c>
      <c r="V75" s="14">
        <f>Activities_Sample[[#This Row],[Est average wage cost]]/Activities_Sample[[#This Row],[Cost]]</f>
        <v>0.88672547500645571</v>
      </c>
      <c r="W75" s="14">
        <f>+Activities_Sample[[#This Row],[Act Aide min]]/Activities_Sample[[#This Row],[Act Aide median]]</f>
        <v>0.9012415349887134</v>
      </c>
      <c r="X75" s="14">
        <f>+Activities_Sample[[#This Row],[Act Aide max]]/Activities_Sample[[#This Row],[Act Aide median]]</f>
        <v>1.0727990970654628</v>
      </c>
      <c r="Y75" s="10">
        <f>VLOOKUP(A75,Summary!$1:$1048576,2,FALSE)</f>
        <v>2</v>
      </c>
    </row>
    <row r="76" spans="1:25" x14ac:dyDescent="0.55000000000000004">
      <c r="A76" s="10">
        <v>776</v>
      </c>
      <c r="B76" s="10" t="s">
        <v>54</v>
      </c>
      <c r="C76" s="10">
        <f>VLOOKUP($A76,'SAS Data'!$1:$1048576,MATCH(C$1,'SAS Data'!$3:$3,0),FALSE)</f>
        <v>2</v>
      </c>
      <c r="D76" s="10">
        <f>VLOOKUP($A76,'SAS Data'!$1:$1048576,MATCH(D$1,'SAS Data'!$3:$3,0),FALSE)</f>
        <v>2</v>
      </c>
      <c r="E76" s="10">
        <f t="shared" si="2"/>
        <v>4</v>
      </c>
      <c r="F76" s="11">
        <f>VLOOKUP($A76,'SAS Data'!$1:$1048576,MATCH(F$1,'SAS Data'!$3:$3,0),FALSE)</f>
        <v>18.574268239405853</v>
      </c>
      <c r="G76" s="12">
        <f>VLOOKUP($A76,'SAS Data'!$1:$1048576,MATCH(G$1,'SAS Data'!$3:$3,0),FALSE)</f>
        <v>4578</v>
      </c>
      <c r="H76" s="12">
        <f>+Activities_Sample[[#This Row],[Act Cph]]*Activities_Sample[[#This Row],[Act Hrsn]]</f>
        <v>85033</v>
      </c>
      <c r="I76" s="10">
        <f>COUNTIF('Act detail'!A:C,A76)</f>
        <v>4</v>
      </c>
      <c r="J76" s="13">
        <v>13</v>
      </c>
      <c r="K76" s="13">
        <v>20</v>
      </c>
      <c r="L76" s="13">
        <v>15.5</v>
      </c>
      <c r="M76" s="13">
        <v>16</v>
      </c>
      <c r="N76" s="37">
        <f>COUNTIFS('Act detail'!$A:$A,$A76,'Act detail'!$C:$C,"&lt;"&amp;L76)</f>
        <v>2</v>
      </c>
      <c r="O76" s="37">
        <f>COUNTIFS('Act detail'!$A:$A,$A76,'Act detail'!$C:$C,"&lt;"&amp;M76)</f>
        <v>2</v>
      </c>
      <c r="P76" s="37">
        <f>COUNTIFS('Act detail'!A:A,$A76,'Act detail'!$C:$C,"&lt;"&amp;$AC$1)</f>
        <v>4</v>
      </c>
      <c r="Q76" s="37">
        <f>COUNTIFS('Act detail'!A:A,$A76,'Act detail'!$C:$C,"&lt;"&amp;$AC$2)</f>
        <v>3</v>
      </c>
      <c r="R76" s="37">
        <f>COUNTIFS('Act detail'!A:A,$A76,'Act detail'!$C:$C,"&lt;"&amp;$AC$3)</f>
        <v>3</v>
      </c>
      <c r="S76" s="12">
        <f>+Activities_Sample[[#This Row],[Act Aide median]]*Activities_Sample[[#This Row],[Act Hrsn]]</f>
        <v>70959</v>
      </c>
      <c r="T76" s="12">
        <f>+Activities_Sample[[#This Row],[Act Aide average]]*Activities_Sample[[#This Row],[Act Hrsn]]</f>
        <v>73248</v>
      </c>
      <c r="U76" s="14">
        <f>Activities_Sample[[#This Row],[Est median wage cost ]]/Activities_Sample[[#This Row],[Cost]]</f>
        <v>0.83448778709442217</v>
      </c>
      <c r="V76" s="14">
        <f>Activities_Sample[[#This Row],[Est average wage cost]]/Activities_Sample[[#This Row],[Cost]]</f>
        <v>0.86140674796843575</v>
      </c>
      <c r="W76" s="14">
        <f>+Activities_Sample[[#This Row],[Act Aide min]]/Activities_Sample[[#This Row],[Act Aide median]]</f>
        <v>0.83870967741935487</v>
      </c>
      <c r="X76" s="14">
        <f>+Activities_Sample[[#This Row],[Act Aide max]]/Activities_Sample[[#This Row],[Act Aide median]]</f>
        <v>1.2903225806451613</v>
      </c>
      <c r="Y76" s="10">
        <f>VLOOKUP(A76,Summary!$1:$1048576,2,FALSE)</f>
        <v>1</v>
      </c>
    </row>
    <row r="77" spans="1:25" x14ac:dyDescent="0.55000000000000004">
      <c r="A77" s="10">
        <v>777</v>
      </c>
      <c r="B77" s="10" t="s">
        <v>54</v>
      </c>
      <c r="C77" s="10">
        <f>VLOOKUP($A77,'SAS Data'!$1:$1048576,MATCH(C$1,'SAS Data'!$3:$3,0),FALSE)</f>
        <v>1</v>
      </c>
      <c r="D77" s="10">
        <f>VLOOKUP($A77,'SAS Data'!$1:$1048576,MATCH(D$1,'SAS Data'!$3:$3,0),FALSE)</f>
        <v>1</v>
      </c>
      <c r="E77" s="10">
        <f t="shared" si="2"/>
        <v>2</v>
      </c>
      <c r="F77" s="11">
        <f>VLOOKUP($A77,'SAS Data'!$1:$1048576,MATCH(F$1,'SAS Data'!$3:$3,0),FALSE)</f>
        <v>17.67525925925926</v>
      </c>
      <c r="G77" s="12">
        <f>VLOOKUP($A77,'SAS Data'!$1:$1048576,MATCH(G$1,'SAS Data'!$3:$3,0),FALSE)</f>
        <v>3375</v>
      </c>
      <c r="H77" s="12">
        <f>+Activities_Sample[[#This Row],[Act Cph]]*Activities_Sample[[#This Row],[Act Hrsn]]</f>
        <v>59654</v>
      </c>
      <c r="I77" s="10">
        <f>COUNTIF('Act detail'!A:C,A77)</f>
        <v>2</v>
      </c>
      <c r="J77" s="13">
        <v>16.48</v>
      </c>
      <c r="K77" s="13">
        <v>17</v>
      </c>
      <c r="L77" s="13">
        <v>16.740000000000002</v>
      </c>
      <c r="M77" s="13">
        <v>16.740000000000002</v>
      </c>
      <c r="N77" s="37">
        <f>COUNTIFS('Act detail'!$A:$A,$A77,'Act detail'!$C:$C,"&lt;"&amp;L77)</f>
        <v>1</v>
      </c>
      <c r="O77" s="37">
        <f>COUNTIFS('Act detail'!$A:$A,$A77,'Act detail'!$C:$C,"&lt;"&amp;M77)</f>
        <v>1</v>
      </c>
      <c r="P77" s="37">
        <f>COUNTIFS('Act detail'!A:A,$A77,'Act detail'!$C:$C,"&lt;"&amp;$AC$1)</f>
        <v>2</v>
      </c>
      <c r="Q77" s="37">
        <f>COUNTIFS('Act detail'!A:A,$A77,'Act detail'!$C:$C,"&lt;"&amp;$AC$2)</f>
        <v>2</v>
      </c>
      <c r="R77" s="37">
        <f>COUNTIFS('Act detail'!A:A,$A77,'Act detail'!$C:$C,"&lt;"&amp;$AC$3)</f>
        <v>2</v>
      </c>
      <c r="S77" s="12">
        <f>+Activities_Sample[[#This Row],[Act Aide median]]*Activities_Sample[[#This Row],[Act Hrsn]]</f>
        <v>56497.500000000007</v>
      </c>
      <c r="T77" s="12">
        <f>+Activities_Sample[[#This Row],[Act Aide average]]*Activities_Sample[[#This Row],[Act Hrsn]]</f>
        <v>56497.500000000007</v>
      </c>
      <c r="U77" s="14">
        <f>Activities_Sample[[#This Row],[Est median wage cost ]]/Activities_Sample[[#This Row],[Cost]]</f>
        <v>0.94708653233647377</v>
      </c>
      <c r="V77" s="14">
        <f>Activities_Sample[[#This Row],[Est average wage cost]]/Activities_Sample[[#This Row],[Cost]]</f>
        <v>0.94708653233647377</v>
      </c>
      <c r="W77" s="14">
        <f>+Activities_Sample[[#This Row],[Act Aide min]]/Activities_Sample[[#This Row],[Act Aide median]]</f>
        <v>0.98446833930704891</v>
      </c>
      <c r="X77" s="14">
        <f>+Activities_Sample[[#This Row],[Act Aide max]]/Activities_Sample[[#This Row],[Act Aide median]]</f>
        <v>1.015531660692951</v>
      </c>
      <c r="Y77" s="10">
        <f>VLOOKUP(A77,Summary!$1:$1048576,2,FALSE)</f>
        <v>2</v>
      </c>
    </row>
    <row r="78" spans="1:25" x14ac:dyDescent="0.55000000000000004">
      <c r="A78" s="10">
        <v>783</v>
      </c>
      <c r="B78" s="10" t="s">
        <v>54</v>
      </c>
      <c r="C78" s="10">
        <f>VLOOKUP($A78,'SAS Data'!$1:$1048576,MATCH(C$1,'SAS Data'!$3:$3,0),FALSE)</f>
        <v>4</v>
      </c>
      <c r="D78" s="10">
        <f>VLOOKUP($A78,'SAS Data'!$1:$1048576,MATCH(D$1,'SAS Data'!$3:$3,0),FALSE)</f>
        <v>6</v>
      </c>
      <c r="E78" s="10">
        <f t="shared" si="2"/>
        <v>10</v>
      </c>
      <c r="F78" s="11">
        <f>VLOOKUP($A78,'SAS Data'!$1:$1048576,MATCH(F$1,'SAS Data'!$3:$3,0),FALSE)</f>
        <v>14.826468481375358</v>
      </c>
      <c r="G78" s="12">
        <f>VLOOKUP($A78,'SAS Data'!$1:$1048576,MATCH(G$1,'SAS Data'!$3:$3,0),FALSE)</f>
        <v>11168</v>
      </c>
      <c r="H78" s="12">
        <f>+Activities_Sample[[#This Row],[Act Cph]]*Activities_Sample[[#This Row],[Act Hrsn]]</f>
        <v>165582</v>
      </c>
      <c r="I78" s="10">
        <f>COUNTIF('Act detail'!A:C,A78)</f>
        <v>8</v>
      </c>
      <c r="J78" s="13">
        <v>12.584</v>
      </c>
      <c r="K78" s="13">
        <v>15.4</v>
      </c>
      <c r="L78" s="13">
        <v>13.18</v>
      </c>
      <c r="M78" s="13">
        <v>13.432875000000001</v>
      </c>
      <c r="N78" s="37">
        <f>COUNTIFS('Act detail'!$A:$A,$A78,'Act detail'!$C:$C,"&lt;"&amp;L78)</f>
        <v>4</v>
      </c>
      <c r="O78" s="37">
        <f>COUNTIFS('Act detail'!$A:$A,$A78,'Act detail'!$C:$C,"&lt;"&amp;M78)</f>
        <v>4</v>
      </c>
      <c r="P78" s="37">
        <f>COUNTIFS('Act detail'!A:A,$A78,'Act detail'!$C:$C,"&lt;"&amp;$AC$1)</f>
        <v>8</v>
      </c>
      <c r="Q78" s="37">
        <f>COUNTIFS('Act detail'!A:A,$A78,'Act detail'!$C:$C,"&lt;"&amp;$AC$2)</f>
        <v>8</v>
      </c>
      <c r="R78" s="37">
        <f>COUNTIFS('Act detail'!A:A,$A78,'Act detail'!$C:$C,"&lt;"&amp;$AC$3)</f>
        <v>8</v>
      </c>
      <c r="S78" s="12">
        <f>+Activities_Sample[[#This Row],[Act Aide median]]*Activities_Sample[[#This Row],[Act Hrsn]]</f>
        <v>147194.23999999999</v>
      </c>
      <c r="T78" s="12">
        <f>+Activities_Sample[[#This Row],[Act Aide average]]*Activities_Sample[[#This Row],[Act Hrsn]]</f>
        <v>150018.348</v>
      </c>
      <c r="U78" s="14">
        <f>Activities_Sample[[#This Row],[Est median wage cost ]]/Activities_Sample[[#This Row],[Cost]]</f>
        <v>0.88895073135968883</v>
      </c>
      <c r="V78" s="14">
        <f>Activities_Sample[[#This Row],[Est average wage cost]]/Activities_Sample[[#This Row],[Cost]]</f>
        <v>0.90600637750480129</v>
      </c>
      <c r="W78" s="14">
        <f>+Activities_Sample[[#This Row],[Act Aide min]]/Activities_Sample[[#This Row],[Act Aide median]]</f>
        <v>0.95477996965098633</v>
      </c>
      <c r="X78" s="14">
        <f>+Activities_Sample[[#This Row],[Act Aide max]]/Activities_Sample[[#This Row],[Act Aide median]]</f>
        <v>1.1684370257966616</v>
      </c>
      <c r="Y78" s="10">
        <f>VLOOKUP(A78,Summary!$1:$1048576,2,FALSE)</f>
        <v>2</v>
      </c>
    </row>
    <row r="79" spans="1:25" x14ac:dyDescent="0.55000000000000004">
      <c r="A79" s="10">
        <v>788</v>
      </c>
      <c r="B79" s="10" t="s">
        <v>54</v>
      </c>
      <c r="C79" s="10">
        <f>VLOOKUP($A79,'SAS Data'!$1:$1048576,MATCH(C$1,'SAS Data'!$3:$3,0),FALSE)</f>
        <v>2</v>
      </c>
      <c r="D79" s="10">
        <f>VLOOKUP($A79,'SAS Data'!$1:$1048576,MATCH(D$1,'SAS Data'!$3:$3,0),FALSE)</f>
        <v>2</v>
      </c>
      <c r="E79" s="10">
        <f t="shared" si="2"/>
        <v>4</v>
      </c>
      <c r="F79" s="11">
        <f>VLOOKUP($A79,'SAS Data'!$1:$1048576,MATCH(F$1,'SAS Data'!$3:$3,0),FALSE)</f>
        <v>22.431190150478798</v>
      </c>
      <c r="G79" s="12">
        <f>VLOOKUP($A79,'SAS Data'!$1:$1048576,MATCH(G$1,'SAS Data'!$3:$3,0),FALSE)</f>
        <v>3655</v>
      </c>
      <c r="H79" s="12">
        <f>+Activities_Sample[[#This Row],[Act Cph]]*Activities_Sample[[#This Row],[Act Hrsn]]</f>
        <v>81986.000000000015</v>
      </c>
      <c r="I79" s="10">
        <f>COUNTIF('Act detail'!A:C,A79)</f>
        <v>1</v>
      </c>
      <c r="J79" s="13">
        <v>17.8</v>
      </c>
      <c r="K79" s="13">
        <v>17.8</v>
      </c>
      <c r="L79" s="13">
        <v>17.8</v>
      </c>
      <c r="M79" s="13">
        <v>17.8</v>
      </c>
      <c r="N79" s="37">
        <f>COUNTIFS('Act detail'!$A:$A,$A79,'Act detail'!$C:$C,"&lt;"&amp;L79)</f>
        <v>0</v>
      </c>
      <c r="O79" s="37">
        <f>COUNTIFS('Act detail'!$A:$A,$A79,'Act detail'!$C:$C,"&lt;"&amp;M79)</f>
        <v>0</v>
      </c>
      <c r="P79" s="37">
        <f>COUNTIFS('Act detail'!A:A,$A79,'Act detail'!$C:$C,"&lt;"&amp;$AC$1)</f>
        <v>1</v>
      </c>
      <c r="Q79" s="37">
        <f>COUNTIFS('Act detail'!A:A,$A79,'Act detail'!$C:$C,"&lt;"&amp;$AC$2)</f>
        <v>0</v>
      </c>
      <c r="R79" s="37">
        <f>COUNTIFS('Act detail'!A:A,$A79,'Act detail'!$C:$C,"&lt;"&amp;$AC$3)</f>
        <v>0</v>
      </c>
      <c r="S79" s="12">
        <f>+Activities_Sample[[#This Row],[Act Aide median]]*Activities_Sample[[#This Row],[Act Hrsn]]</f>
        <v>65059</v>
      </c>
      <c r="T79" s="12">
        <f>+Activities_Sample[[#This Row],[Act Aide average]]*Activities_Sample[[#This Row],[Act Hrsn]]</f>
        <v>65059</v>
      </c>
      <c r="U79" s="14">
        <f>Activities_Sample[[#This Row],[Est median wage cost ]]/Activities_Sample[[#This Row],[Cost]]</f>
        <v>0.79353792110848176</v>
      </c>
      <c r="V79" s="14">
        <f>Activities_Sample[[#This Row],[Est average wage cost]]/Activities_Sample[[#This Row],[Cost]]</f>
        <v>0.79353792110848176</v>
      </c>
      <c r="W79" s="14">
        <f>+Activities_Sample[[#This Row],[Act Aide min]]/Activities_Sample[[#This Row],[Act Aide median]]</f>
        <v>1</v>
      </c>
      <c r="X79" s="14">
        <f>+Activities_Sample[[#This Row],[Act Aide max]]/Activities_Sample[[#This Row],[Act Aide median]]</f>
        <v>1</v>
      </c>
      <c r="Y79" s="10">
        <f>VLOOKUP(A79,Summary!$1:$1048576,2,FALSE)</f>
        <v>3</v>
      </c>
    </row>
    <row r="80" spans="1:25" x14ac:dyDescent="0.55000000000000004">
      <c r="A80" s="10">
        <v>803</v>
      </c>
      <c r="B80" s="10" t="s">
        <v>54</v>
      </c>
      <c r="C80" s="10">
        <f>VLOOKUP($A80,'SAS Data'!$1:$1048576,MATCH(C$1,'SAS Data'!$3:$3,0),FALSE)</f>
        <v>1</v>
      </c>
      <c r="D80" s="10">
        <f>VLOOKUP($A80,'SAS Data'!$1:$1048576,MATCH(D$1,'SAS Data'!$3:$3,0),FALSE)</f>
        <v>1</v>
      </c>
      <c r="E80" s="10">
        <f t="shared" si="2"/>
        <v>2</v>
      </c>
      <c r="F80" s="11">
        <f>VLOOKUP($A80,'SAS Data'!$1:$1048576,MATCH(F$1,'SAS Data'!$3:$3,0),FALSE)</f>
        <v>22.845360824742269</v>
      </c>
      <c r="G80" s="12">
        <f>VLOOKUP($A80,'SAS Data'!$1:$1048576,MATCH(G$1,'SAS Data'!$3:$3,0),FALSE)</f>
        <v>2522</v>
      </c>
      <c r="H80" s="12">
        <f>+Activities_Sample[[#This Row],[Act Cph]]*Activities_Sample[[#This Row],[Act Hrsn]]</f>
        <v>57616</v>
      </c>
      <c r="I80" s="10">
        <f>COUNTIF('Act detail'!A:C,A80)</f>
        <v>2</v>
      </c>
      <c r="J80" s="13">
        <v>15</v>
      </c>
      <c r="K80" s="13">
        <v>15.71</v>
      </c>
      <c r="L80" s="13">
        <v>15.355</v>
      </c>
      <c r="M80" s="13">
        <v>15.355</v>
      </c>
      <c r="N80" s="37">
        <f>COUNTIFS('Act detail'!$A:$A,$A80,'Act detail'!$C:$C,"&lt;"&amp;L80)</f>
        <v>1</v>
      </c>
      <c r="O80" s="37">
        <f>COUNTIFS('Act detail'!$A:$A,$A80,'Act detail'!$C:$C,"&lt;"&amp;M80)</f>
        <v>1</v>
      </c>
      <c r="P80" s="37">
        <f>COUNTIFS('Act detail'!A:A,$A80,'Act detail'!$C:$C,"&lt;"&amp;$AC$1)</f>
        <v>2</v>
      </c>
      <c r="Q80" s="37">
        <f>COUNTIFS('Act detail'!A:A,$A80,'Act detail'!$C:$C,"&lt;"&amp;$AC$2)</f>
        <v>2</v>
      </c>
      <c r="R80" s="37">
        <f>COUNTIFS('Act detail'!A:A,$A80,'Act detail'!$C:$C,"&lt;"&amp;$AC$3)</f>
        <v>2</v>
      </c>
      <c r="S80" s="12">
        <f>+Activities_Sample[[#This Row],[Act Aide median]]*Activities_Sample[[#This Row],[Act Hrsn]]</f>
        <v>38725.31</v>
      </c>
      <c r="T80" s="12">
        <f>+Activities_Sample[[#This Row],[Act Aide average]]*Activities_Sample[[#This Row],[Act Hrsn]]</f>
        <v>38725.31</v>
      </c>
      <c r="U80" s="14">
        <f>Activities_Sample[[#This Row],[Est median wage cost ]]/Activities_Sample[[#This Row],[Cost]]</f>
        <v>0.67212770758122742</v>
      </c>
      <c r="V80" s="14">
        <f>Activities_Sample[[#This Row],[Est average wage cost]]/Activities_Sample[[#This Row],[Cost]]</f>
        <v>0.67212770758122742</v>
      </c>
      <c r="W80" s="14">
        <f>+Activities_Sample[[#This Row],[Act Aide min]]/Activities_Sample[[#This Row],[Act Aide median]]</f>
        <v>0.97688049495278406</v>
      </c>
      <c r="X80" s="14">
        <f>+Activities_Sample[[#This Row],[Act Aide max]]/Activities_Sample[[#This Row],[Act Aide median]]</f>
        <v>1.0231195050472159</v>
      </c>
      <c r="Y80" s="10">
        <f>VLOOKUP(A80,Summary!$1:$1048576,2,FALSE)</f>
        <v>3</v>
      </c>
    </row>
    <row r="81" spans="1:25" x14ac:dyDescent="0.55000000000000004">
      <c r="A81" s="10">
        <v>814</v>
      </c>
      <c r="B81" s="10" t="s">
        <v>54</v>
      </c>
      <c r="C81" s="10">
        <f>VLOOKUP($A81,'SAS Data'!$1:$1048576,MATCH(C$1,'SAS Data'!$3:$3,0),FALSE)</f>
        <v>4</v>
      </c>
      <c r="D81" s="10">
        <f>VLOOKUP($A81,'SAS Data'!$1:$1048576,MATCH(D$1,'SAS Data'!$3:$3,0),FALSE)</f>
        <v>0</v>
      </c>
      <c r="E81" s="10">
        <f t="shared" si="2"/>
        <v>4</v>
      </c>
      <c r="F81" s="11">
        <f>VLOOKUP($A81,'SAS Data'!$1:$1048576,MATCH(F$1,'SAS Data'!$3:$3,0),FALSE)</f>
        <v>23.185503864663847</v>
      </c>
      <c r="G81" s="12">
        <f>VLOOKUP($A81,'SAS Data'!$1:$1048576,MATCH(G$1,'SAS Data'!$3:$3,0),FALSE)</f>
        <v>6857</v>
      </c>
      <c r="H81" s="12">
        <f>+Activities_Sample[[#This Row],[Act Cph]]*Activities_Sample[[#This Row],[Act Hrsn]]</f>
        <v>158983</v>
      </c>
      <c r="I81" s="10">
        <f>COUNTIF('Act detail'!A:C,A81)</f>
        <v>4</v>
      </c>
      <c r="J81" s="13">
        <v>18.25</v>
      </c>
      <c r="K81" s="13">
        <v>23.32</v>
      </c>
      <c r="L81" s="13">
        <v>20.11</v>
      </c>
      <c r="M81" s="13">
        <v>20.447499999999998</v>
      </c>
      <c r="N81" s="37">
        <f>COUNTIFS('Act detail'!$A:$A,$A81,'Act detail'!$C:$C,"&lt;"&amp;L81)</f>
        <v>2</v>
      </c>
      <c r="O81" s="37">
        <f>COUNTIFS('Act detail'!$A:$A,$A81,'Act detail'!$C:$C,"&lt;"&amp;M81)</f>
        <v>2</v>
      </c>
      <c r="P81" s="37">
        <f>COUNTIFS('Act detail'!A:A,$A81,'Act detail'!$C:$C,"&lt;"&amp;$AC$1)</f>
        <v>4</v>
      </c>
      <c r="Q81" s="37">
        <f>COUNTIFS('Act detail'!A:A,$A81,'Act detail'!$C:$C,"&lt;"&amp;$AC$2)</f>
        <v>0</v>
      </c>
      <c r="R81" s="37">
        <f>COUNTIFS('Act detail'!A:A,$A81,'Act detail'!$C:$C,"&lt;"&amp;$AC$3)</f>
        <v>0</v>
      </c>
      <c r="S81" s="12">
        <f>+Activities_Sample[[#This Row],[Act Aide median]]*Activities_Sample[[#This Row],[Act Hrsn]]</f>
        <v>137894.26999999999</v>
      </c>
      <c r="T81" s="12">
        <f>+Activities_Sample[[#This Row],[Act Aide average]]*Activities_Sample[[#This Row],[Act Hrsn]]</f>
        <v>140208.50749999998</v>
      </c>
      <c r="U81" s="14">
        <f>Activities_Sample[[#This Row],[Est median wage cost ]]/Activities_Sample[[#This Row],[Cost]]</f>
        <v>0.86735229552845261</v>
      </c>
      <c r="V81" s="14">
        <f>Activities_Sample[[#This Row],[Est average wage cost]]/Activities_Sample[[#This Row],[Cost]]</f>
        <v>0.88190880471496935</v>
      </c>
      <c r="W81" s="14">
        <f>+Activities_Sample[[#This Row],[Act Aide min]]/Activities_Sample[[#This Row],[Act Aide median]]</f>
        <v>0.90750870213823975</v>
      </c>
      <c r="X81" s="14">
        <f>+Activities_Sample[[#This Row],[Act Aide max]]/Activities_Sample[[#This Row],[Act Aide median]]</f>
        <v>1.1596220785678768</v>
      </c>
      <c r="Y81" s="10">
        <f>VLOOKUP(A81,Summary!$1:$1048576,2,FALSE)</f>
        <v>3</v>
      </c>
    </row>
    <row r="82" spans="1:25" x14ac:dyDescent="0.55000000000000004">
      <c r="A82" s="10">
        <v>824</v>
      </c>
      <c r="B82" s="10" t="s">
        <v>54</v>
      </c>
      <c r="C82" s="10">
        <f>VLOOKUP($A82,'SAS Data'!$1:$1048576,MATCH(C$1,'SAS Data'!$3:$3,0),FALSE)</f>
        <v>5</v>
      </c>
      <c r="D82" s="10">
        <f>VLOOKUP($A82,'SAS Data'!$1:$1048576,MATCH(D$1,'SAS Data'!$3:$3,0),FALSE)</f>
        <v>1</v>
      </c>
      <c r="E82" s="10">
        <f t="shared" si="2"/>
        <v>6</v>
      </c>
      <c r="F82" s="11">
        <f>VLOOKUP($A82,'SAS Data'!$1:$1048576,MATCH(F$1,'SAS Data'!$3:$3,0),FALSE)</f>
        <v>18.862571481276518</v>
      </c>
      <c r="G82" s="12">
        <f>VLOOKUP($A82,'SAS Data'!$1:$1048576,MATCH(G$1,'SAS Data'!$3:$3,0),FALSE)</f>
        <v>10842</v>
      </c>
      <c r="H82" s="12">
        <f>+Activities_Sample[[#This Row],[Act Cph]]*Activities_Sample[[#This Row],[Act Hrsn]]</f>
        <v>204508</v>
      </c>
      <c r="I82" s="10">
        <f>COUNTIF('Act detail'!A:C,A82)</f>
        <v>4</v>
      </c>
      <c r="J82" s="13">
        <v>17.05</v>
      </c>
      <c r="K82" s="13">
        <v>17.989999999999998</v>
      </c>
      <c r="L82" s="13">
        <v>17.504999999999999</v>
      </c>
      <c r="M82" s="13">
        <v>17.512499999999999</v>
      </c>
      <c r="N82" s="37">
        <f>COUNTIFS('Act detail'!$A:$A,$A82,'Act detail'!$C:$C,"&lt;"&amp;L82)</f>
        <v>2</v>
      </c>
      <c r="O82" s="37">
        <f>COUNTIFS('Act detail'!$A:$A,$A82,'Act detail'!$C:$C,"&lt;"&amp;M82)</f>
        <v>2</v>
      </c>
      <c r="P82" s="37">
        <f>COUNTIFS('Act detail'!A:A,$A82,'Act detail'!$C:$C,"&lt;"&amp;$AC$1)</f>
        <v>4</v>
      </c>
      <c r="Q82" s="37">
        <f>COUNTIFS('Act detail'!A:A,$A82,'Act detail'!$C:$C,"&lt;"&amp;$AC$2)</f>
        <v>1</v>
      </c>
      <c r="R82" s="37">
        <f>COUNTIFS('Act detail'!A:A,$A82,'Act detail'!$C:$C,"&lt;"&amp;$AC$3)</f>
        <v>2</v>
      </c>
      <c r="S82" s="12">
        <f>+Activities_Sample[[#This Row],[Act Aide median]]*Activities_Sample[[#This Row],[Act Hrsn]]</f>
        <v>189789.21</v>
      </c>
      <c r="T82" s="12">
        <f>+Activities_Sample[[#This Row],[Act Aide average]]*Activities_Sample[[#This Row],[Act Hrsn]]</f>
        <v>189870.52499999999</v>
      </c>
      <c r="U82" s="14">
        <f>Activities_Sample[[#This Row],[Est median wage cost ]]/Activities_Sample[[#This Row],[Cost]]</f>
        <v>0.92802829229174399</v>
      </c>
      <c r="V82" s="14">
        <f>Activities_Sample[[#This Row],[Est average wage cost]]/Activities_Sample[[#This Row],[Cost]]</f>
        <v>0.92842590509906697</v>
      </c>
      <c r="W82" s="14">
        <f>+Activities_Sample[[#This Row],[Act Aide min]]/Activities_Sample[[#This Row],[Act Aide median]]</f>
        <v>0.97400742644958593</v>
      </c>
      <c r="X82" s="14">
        <f>+Activities_Sample[[#This Row],[Act Aide max]]/Activities_Sample[[#This Row],[Act Aide median]]</f>
        <v>1.0277063696086832</v>
      </c>
      <c r="Y82" s="10">
        <f>VLOOKUP(A82,Summary!$1:$1048576,2,FALSE)</f>
        <v>1</v>
      </c>
    </row>
    <row r="83" spans="1:25" x14ac:dyDescent="0.55000000000000004">
      <c r="A83" s="10">
        <v>826</v>
      </c>
      <c r="B83" s="10" t="s">
        <v>54</v>
      </c>
      <c r="C83" s="10">
        <f>VLOOKUP($A83,'SAS Data'!$1:$1048576,MATCH(C$1,'SAS Data'!$3:$3,0),FALSE)</f>
        <v>2</v>
      </c>
      <c r="D83" s="10">
        <f>VLOOKUP($A83,'SAS Data'!$1:$1048576,MATCH(D$1,'SAS Data'!$3:$3,0),FALSE)</f>
        <v>4</v>
      </c>
      <c r="E83" s="10">
        <f t="shared" si="2"/>
        <v>6</v>
      </c>
      <c r="F83" s="11">
        <f>VLOOKUP($A83,'SAS Data'!$1:$1048576,MATCH(F$1,'SAS Data'!$3:$3,0),FALSE)</f>
        <v>17.801962846126884</v>
      </c>
      <c r="G83" s="12">
        <f>VLOOKUP($A83,'SAS Data'!$1:$1048576,MATCH(G$1,'SAS Data'!$3:$3,0),FALSE)</f>
        <v>5706</v>
      </c>
      <c r="H83" s="12">
        <f>+Activities_Sample[[#This Row],[Act Cph]]*Activities_Sample[[#This Row],[Act Hrsn]]</f>
        <v>101578</v>
      </c>
      <c r="I83" s="10">
        <f>COUNTIF('Act detail'!A:C,A83)</f>
        <v>5</v>
      </c>
      <c r="J83" s="13">
        <v>14</v>
      </c>
      <c r="K83" s="13">
        <v>15</v>
      </c>
      <c r="L83" s="13">
        <v>14.3</v>
      </c>
      <c r="M83" s="13">
        <v>14.5</v>
      </c>
      <c r="N83" s="37">
        <f>COUNTIFS('Act detail'!$A:$A,$A83,'Act detail'!$C:$C,"&lt;"&amp;L83)</f>
        <v>1</v>
      </c>
      <c r="O83" s="37">
        <f>COUNTIFS('Act detail'!$A:$A,$A83,'Act detail'!$C:$C,"&lt;"&amp;M83)</f>
        <v>3</v>
      </c>
      <c r="P83" s="37">
        <f>COUNTIFS('Act detail'!A:A,$A83,'Act detail'!$C:$C,"&lt;"&amp;$AC$1)</f>
        <v>5</v>
      </c>
      <c r="Q83" s="37">
        <f>COUNTIFS('Act detail'!A:A,$A83,'Act detail'!$C:$C,"&lt;"&amp;$AC$2)</f>
        <v>5</v>
      </c>
      <c r="R83" s="37">
        <f>COUNTIFS('Act detail'!A:A,$A83,'Act detail'!$C:$C,"&lt;"&amp;$AC$3)</f>
        <v>5</v>
      </c>
      <c r="S83" s="12">
        <f>+Activities_Sample[[#This Row],[Act Aide median]]*Activities_Sample[[#This Row],[Act Hrsn]]</f>
        <v>81595.8</v>
      </c>
      <c r="T83" s="12">
        <f>+Activities_Sample[[#This Row],[Act Aide average]]*Activities_Sample[[#This Row],[Act Hrsn]]</f>
        <v>82737</v>
      </c>
      <c r="U83" s="14">
        <f>Activities_Sample[[#This Row],[Est median wage cost ]]/Activities_Sample[[#This Row],[Cost]]</f>
        <v>0.80328220677705808</v>
      </c>
      <c r="V83" s="14">
        <f>Activities_Sample[[#This Row],[Est average wage cost]]/Activities_Sample[[#This Row],[Cost]]</f>
        <v>0.81451692295575817</v>
      </c>
      <c r="W83" s="14">
        <f>+Activities_Sample[[#This Row],[Act Aide min]]/Activities_Sample[[#This Row],[Act Aide median]]</f>
        <v>0.97902097902097895</v>
      </c>
      <c r="X83" s="14">
        <f>+Activities_Sample[[#This Row],[Act Aide max]]/Activities_Sample[[#This Row],[Act Aide median]]</f>
        <v>1.048951048951049</v>
      </c>
      <c r="Y83" s="10">
        <f>VLOOKUP(A83,Summary!$1:$1048576,2,FALSE)</f>
        <v>3</v>
      </c>
    </row>
    <row r="84" spans="1:25" x14ac:dyDescent="0.55000000000000004">
      <c r="A84" s="10">
        <v>828</v>
      </c>
      <c r="B84" s="10" t="s">
        <v>54</v>
      </c>
      <c r="C84" s="10">
        <f>VLOOKUP($A84,'SAS Data'!$1:$1048576,MATCH(C$1,'SAS Data'!$3:$3,0),FALSE)</f>
        <v>0</v>
      </c>
      <c r="D84" s="10">
        <f>VLOOKUP($A84,'SAS Data'!$1:$1048576,MATCH(D$1,'SAS Data'!$3:$3,0),FALSE)</f>
        <v>5</v>
      </c>
      <c r="E84" s="10">
        <f t="shared" si="2"/>
        <v>5</v>
      </c>
      <c r="F84" s="11">
        <f>VLOOKUP($A84,'SAS Data'!$1:$1048576,MATCH(F$1,'SAS Data'!$3:$3,0),FALSE)</f>
        <v>16.155802861685213</v>
      </c>
      <c r="G84" s="12">
        <f>VLOOKUP($A84,'SAS Data'!$1:$1048576,MATCH(G$1,'SAS Data'!$3:$3,0),FALSE)</f>
        <v>5032</v>
      </c>
      <c r="H84" s="12">
        <f>+Activities_Sample[[#This Row],[Act Cph]]*Activities_Sample[[#This Row],[Act Hrsn]]</f>
        <v>81296</v>
      </c>
      <c r="I84" s="10">
        <f>COUNTIF('Act detail'!A:C,A84)</f>
        <v>4</v>
      </c>
      <c r="J84" s="13">
        <v>14.28</v>
      </c>
      <c r="K84" s="13">
        <v>16.07</v>
      </c>
      <c r="L84" s="13">
        <v>14.864999999999998</v>
      </c>
      <c r="M84" s="13">
        <v>15.02</v>
      </c>
      <c r="N84" s="37">
        <f>COUNTIFS('Act detail'!$A:$A,$A84,'Act detail'!$C:$C,"&lt;"&amp;L84)</f>
        <v>2</v>
      </c>
      <c r="O84" s="37">
        <f>COUNTIFS('Act detail'!$A:$A,$A84,'Act detail'!$C:$C,"&lt;"&amp;M84)</f>
        <v>2</v>
      </c>
      <c r="P84" s="37">
        <f>COUNTIFS('Act detail'!A:A,$A84,'Act detail'!$C:$C,"&lt;"&amp;$AC$1)</f>
        <v>4</v>
      </c>
      <c r="Q84" s="37">
        <f>COUNTIFS('Act detail'!A:A,$A84,'Act detail'!$C:$C,"&lt;"&amp;$AC$2)</f>
        <v>4</v>
      </c>
      <c r="R84" s="37">
        <f>COUNTIFS('Act detail'!A:A,$A84,'Act detail'!$C:$C,"&lt;"&amp;$AC$3)</f>
        <v>4</v>
      </c>
      <c r="S84" s="12">
        <f>+Activities_Sample[[#This Row],[Act Aide median]]*Activities_Sample[[#This Row],[Act Hrsn]]</f>
        <v>74800.679999999993</v>
      </c>
      <c r="T84" s="12">
        <f>+Activities_Sample[[#This Row],[Act Aide average]]*Activities_Sample[[#This Row],[Act Hrsn]]</f>
        <v>75580.639999999999</v>
      </c>
      <c r="U84" s="14">
        <f>Activities_Sample[[#This Row],[Est median wage cost ]]/Activities_Sample[[#This Row],[Cost]]</f>
        <v>0.92010283408777793</v>
      </c>
      <c r="V84" s="14">
        <f>Activities_Sample[[#This Row],[Est average wage cost]]/Activities_Sample[[#This Row],[Cost]]</f>
        <v>0.92969691005707533</v>
      </c>
      <c r="W84" s="14">
        <f>+Activities_Sample[[#This Row],[Act Aide min]]/Activities_Sample[[#This Row],[Act Aide median]]</f>
        <v>0.96064581231079726</v>
      </c>
      <c r="X84" s="14">
        <f>+Activities_Sample[[#This Row],[Act Aide max]]/Activities_Sample[[#This Row],[Act Aide median]]</f>
        <v>1.0810628994281872</v>
      </c>
      <c r="Y84" s="10">
        <f>VLOOKUP(A84,Summary!$1:$1048576,2,FALSE)</f>
        <v>3</v>
      </c>
    </row>
    <row r="85" spans="1:25" x14ac:dyDescent="0.55000000000000004">
      <c r="A85" s="10">
        <v>852</v>
      </c>
      <c r="B85" s="10" t="s">
        <v>54</v>
      </c>
      <c r="C85" s="10">
        <f>VLOOKUP($A85,'SAS Data'!$1:$1048576,MATCH(C$1,'SAS Data'!$3:$3,0),FALSE)</f>
        <v>5</v>
      </c>
      <c r="D85" s="10">
        <f>VLOOKUP($A85,'SAS Data'!$1:$1048576,MATCH(D$1,'SAS Data'!$3:$3,0),FALSE)</f>
        <v>3</v>
      </c>
      <c r="E85" s="10">
        <f t="shared" si="2"/>
        <v>8</v>
      </c>
      <c r="F85" s="11">
        <f>VLOOKUP($A85,'SAS Data'!$1:$1048576,MATCH(F$1,'SAS Data'!$3:$3,0),FALSE)</f>
        <v>21.039327676240205</v>
      </c>
      <c r="G85" s="12">
        <f>VLOOKUP($A85,'SAS Data'!$1:$1048576,MATCH(G$1,'SAS Data'!$3:$3,0),FALSE)</f>
        <v>12256</v>
      </c>
      <c r="H85" s="12">
        <f>+Activities_Sample[[#This Row],[Act Cph]]*Activities_Sample[[#This Row],[Act Hrsn]]</f>
        <v>257857.99999999994</v>
      </c>
      <c r="I85" s="10">
        <f>COUNTIF('Act detail'!A:C,A85)</f>
        <v>6</v>
      </c>
      <c r="J85" s="13">
        <v>15</v>
      </c>
      <c r="K85" s="13">
        <v>22.06</v>
      </c>
      <c r="L85" s="13">
        <v>19.96</v>
      </c>
      <c r="M85" s="13">
        <v>19.006666666666668</v>
      </c>
      <c r="N85" s="37">
        <f>COUNTIFS('Act detail'!$A:$A,$A85,'Act detail'!$C:$C,"&lt;"&amp;L85)</f>
        <v>3</v>
      </c>
      <c r="O85" s="37">
        <f>COUNTIFS('Act detail'!$A:$A,$A85,'Act detail'!$C:$C,"&lt;"&amp;M85)</f>
        <v>2</v>
      </c>
      <c r="P85" s="37">
        <f>COUNTIFS('Act detail'!A:A,$A85,'Act detail'!$C:$C,"&lt;"&amp;$AC$1)</f>
        <v>6</v>
      </c>
      <c r="Q85" s="37">
        <f>COUNTIFS('Act detail'!A:A,$A85,'Act detail'!$C:$C,"&lt;"&amp;$AC$2)</f>
        <v>2</v>
      </c>
      <c r="R85" s="37">
        <f>COUNTIFS('Act detail'!A:A,$A85,'Act detail'!$C:$C,"&lt;"&amp;$AC$3)</f>
        <v>2</v>
      </c>
      <c r="S85" s="12">
        <f>+Activities_Sample[[#This Row],[Act Aide median]]*Activities_Sample[[#This Row],[Act Hrsn]]</f>
        <v>244629.76000000001</v>
      </c>
      <c r="T85" s="12">
        <f>+Activities_Sample[[#This Row],[Act Aide average]]*Activities_Sample[[#This Row],[Act Hrsn]]</f>
        <v>232945.70666666667</v>
      </c>
      <c r="U85" s="14">
        <f>Activities_Sample[[#This Row],[Est median wage cost ]]/Activities_Sample[[#This Row],[Cost]]</f>
        <v>0.9486995167883101</v>
      </c>
      <c r="V85" s="14">
        <f>Activities_Sample[[#This Row],[Est average wage cost]]/Activities_Sample[[#This Row],[Cost]]</f>
        <v>0.90338754921959652</v>
      </c>
      <c r="W85" s="14">
        <f>+Activities_Sample[[#This Row],[Act Aide min]]/Activities_Sample[[#This Row],[Act Aide median]]</f>
        <v>0.75150300601202402</v>
      </c>
      <c r="X85" s="14">
        <f>+Activities_Sample[[#This Row],[Act Aide max]]/Activities_Sample[[#This Row],[Act Aide median]]</f>
        <v>1.1052104208416833</v>
      </c>
      <c r="Y85" s="10">
        <f>VLOOKUP(A85,Summary!$1:$1048576,2,FALSE)</f>
        <v>2</v>
      </c>
    </row>
    <row r="86" spans="1:25" x14ac:dyDescent="0.55000000000000004">
      <c r="A86" s="10">
        <v>861</v>
      </c>
      <c r="B86" s="10" t="s">
        <v>54</v>
      </c>
      <c r="C86" s="10">
        <f>VLOOKUP($A86,'SAS Data'!$1:$1048576,MATCH(C$1,'SAS Data'!$3:$3,0),FALSE)</f>
        <v>4</v>
      </c>
      <c r="D86" s="10">
        <f>VLOOKUP($A86,'SAS Data'!$1:$1048576,MATCH(D$1,'SAS Data'!$3:$3,0),FALSE)</f>
        <v>0</v>
      </c>
      <c r="E86" s="10">
        <f t="shared" si="2"/>
        <v>4</v>
      </c>
      <c r="F86" s="11">
        <f>VLOOKUP($A86,'SAS Data'!$1:$1048576,MATCH(F$1,'SAS Data'!$3:$3,0),FALSE)</f>
        <v>22.551586774664717</v>
      </c>
      <c r="G86" s="12">
        <f>VLOOKUP($A86,'SAS Data'!$1:$1048576,MATCH(G$1,'SAS Data'!$3:$3,0),FALSE)</f>
        <v>7531</v>
      </c>
      <c r="H86" s="12">
        <f>+Activities_Sample[[#This Row],[Act Cph]]*Activities_Sample[[#This Row],[Act Hrsn]]</f>
        <v>169835.99999999997</v>
      </c>
      <c r="I86" s="10">
        <f>COUNTIF('Act detail'!A:C,A86)</f>
        <v>3</v>
      </c>
      <c r="J86" s="13">
        <v>18.079999999999998</v>
      </c>
      <c r="K86" s="13">
        <v>21</v>
      </c>
      <c r="L86" s="13">
        <v>20</v>
      </c>
      <c r="M86" s="13">
        <v>19.693333333333332</v>
      </c>
      <c r="N86" s="37">
        <f>COUNTIFS('Act detail'!$A:$A,$A86,'Act detail'!$C:$C,"&lt;"&amp;L86)</f>
        <v>1</v>
      </c>
      <c r="O86" s="37">
        <f>COUNTIFS('Act detail'!$A:$A,$A86,'Act detail'!$C:$C,"&lt;"&amp;M86)</f>
        <v>1</v>
      </c>
      <c r="P86" s="37">
        <f>COUNTIFS('Act detail'!A:A,$A86,'Act detail'!$C:$C,"&lt;"&amp;$AC$1)</f>
        <v>3</v>
      </c>
      <c r="Q86" s="37">
        <f>COUNTIFS('Act detail'!A:A,$A86,'Act detail'!$C:$C,"&lt;"&amp;$AC$2)</f>
        <v>0</v>
      </c>
      <c r="R86" s="37">
        <f>COUNTIFS('Act detail'!A:A,$A86,'Act detail'!$C:$C,"&lt;"&amp;$AC$3)</f>
        <v>0</v>
      </c>
      <c r="S86" s="12">
        <f>+Activities_Sample[[#This Row],[Act Aide median]]*Activities_Sample[[#This Row],[Act Hrsn]]</f>
        <v>150620</v>
      </c>
      <c r="T86" s="12">
        <f>+Activities_Sample[[#This Row],[Act Aide average]]*Activities_Sample[[#This Row],[Act Hrsn]]</f>
        <v>148310.49333333332</v>
      </c>
      <c r="U86" s="14">
        <f>Activities_Sample[[#This Row],[Est median wage cost ]]/Activities_Sample[[#This Row],[Cost]]</f>
        <v>0.88685555477048461</v>
      </c>
      <c r="V86" s="14">
        <f>Activities_Sample[[#This Row],[Est average wage cost]]/Activities_Sample[[#This Row],[Cost]]</f>
        <v>0.87325710293067038</v>
      </c>
      <c r="W86" s="14">
        <f>+Activities_Sample[[#This Row],[Act Aide min]]/Activities_Sample[[#This Row],[Act Aide median]]</f>
        <v>0.90399999999999991</v>
      </c>
      <c r="X86" s="14">
        <f>+Activities_Sample[[#This Row],[Act Aide max]]/Activities_Sample[[#This Row],[Act Aide median]]</f>
        <v>1.05</v>
      </c>
      <c r="Y86" s="10">
        <f>VLOOKUP(A86,Summary!$1:$1048576,2,FALSE)</f>
        <v>3</v>
      </c>
    </row>
    <row r="87" spans="1:25" x14ac:dyDescent="0.55000000000000004">
      <c r="A87" s="10">
        <v>901</v>
      </c>
      <c r="B87" s="10" t="s">
        <v>54</v>
      </c>
      <c r="C87" s="10">
        <f>VLOOKUP($A87,'SAS Data'!$1:$1048576,MATCH(C$1,'SAS Data'!$3:$3,0),FALSE)</f>
        <v>2</v>
      </c>
      <c r="D87" s="10">
        <f>VLOOKUP($A87,'SAS Data'!$1:$1048576,MATCH(D$1,'SAS Data'!$3:$3,0),FALSE)</f>
        <v>0</v>
      </c>
      <c r="E87" s="10">
        <f t="shared" si="2"/>
        <v>2</v>
      </c>
      <c r="F87" s="11">
        <f>VLOOKUP($A87,'SAS Data'!$1:$1048576,MATCH(F$1,'SAS Data'!$3:$3,0),FALSE)</f>
        <v>19.02549019607843</v>
      </c>
      <c r="G87" s="12">
        <f>VLOOKUP($A87,'SAS Data'!$1:$1048576,MATCH(G$1,'SAS Data'!$3:$3,0),FALSE)</f>
        <v>3060</v>
      </c>
      <c r="H87" s="12">
        <f>+Activities_Sample[[#This Row],[Act Cph]]*Activities_Sample[[#This Row],[Act Hrsn]]</f>
        <v>58217.999999999993</v>
      </c>
      <c r="I87" s="10">
        <f>COUNTIF('Act detail'!A:C,A87)</f>
        <v>1</v>
      </c>
      <c r="J87" s="13">
        <v>16.25</v>
      </c>
      <c r="K87" s="13">
        <v>16.25</v>
      </c>
      <c r="L87" s="13">
        <v>16.25</v>
      </c>
      <c r="M87" s="13">
        <v>16.25</v>
      </c>
      <c r="N87" s="37">
        <f>COUNTIFS('Act detail'!$A:$A,$A87,'Act detail'!$C:$C,"&lt;"&amp;L87)</f>
        <v>0</v>
      </c>
      <c r="O87" s="37">
        <f>COUNTIFS('Act detail'!$A:$A,$A87,'Act detail'!$C:$C,"&lt;"&amp;M87)</f>
        <v>0</v>
      </c>
      <c r="P87" s="37">
        <f>COUNTIFS('Act detail'!A:A,$A87,'Act detail'!$C:$C,"&lt;"&amp;$AC$1)</f>
        <v>1</v>
      </c>
      <c r="Q87" s="37">
        <f>COUNTIFS('Act detail'!A:A,$A87,'Act detail'!$C:$C,"&lt;"&amp;$AC$2)</f>
        <v>1</v>
      </c>
      <c r="R87" s="37">
        <f>COUNTIFS('Act detail'!A:A,$A87,'Act detail'!$C:$C,"&lt;"&amp;$AC$3)</f>
        <v>1</v>
      </c>
      <c r="S87" s="12">
        <f>+Activities_Sample[[#This Row],[Act Aide median]]*Activities_Sample[[#This Row],[Act Hrsn]]</f>
        <v>49725</v>
      </c>
      <c r="T87" s="12">
        <f>+Activities_Sample[[#This Row],[Act Aide average]]*Activities_Sample[[#This Row],[Act Hrsn]]</f>
        <v>49725</v>
      </c>
      <c r="U87" s="14">
        <f>Activities_Sample[[#This Row],[Est median wage cost ]]/Activities_Sample[[#This Row],[Cost]]</f>
        <v>0.85411728331443892</v>
      </c>
      <c r="V87" s="14">
        <f>Activities_Sample[[#This Row],[Est average wage cost]]/Activities_Sample[[#This Row],[Cost]]</f>
        <v>0.85411728331443892</v>
      </c>
      <c r="W87" s="14">
        <f>+Activities_Sample[[#This Row],[Act Aide min]]/Activities_Sample[[#This Row],[Act Aide median]]</f>
        <v>1</v>
      </c>
      <c r="X87" s="14">
        <f>+Activities_Sample[[#This Row],[Act Aide max]]/Activities_Sample[[#This Row],[Act Aide median]]</f>
        <v>1</v>
      </c>
      <c r="Y87" s="10">
        <f>VLOOKUP(A87,Summary!$1:$1048576,2,FALSE)</f>
        <v>3</v>
      </c>
    </row>
    <row r="88" spans="1:25" x14ac:dyDescent="0.55000000000000004">
      <c r="A88" s="10">
        <v>902</v>
      </c>
      <c r="B88" s="10" t="s">
        <v>54</v>
      </c>
      <c r="C88" s="10">
        <f>VLOOKUP($A88,'SAS Data'!$1:$1048576,MATCH(C$1,'SAS Data'!$3:$3,0),FALSE)</f>
        <v>4</v>
      </c>
      <c r="D88" s="10">
        <f>VLOOKUP($A88,'SAS Data'!$1:$1048576,MATCH(D$1,'SAS Data'!$3:$3,0),FALSE)</f>
        <v>0</v>
      </c>
      <c r="E88" s="10">
        <f t="shared" si="2"/>
        <v>4</v>
      </c>
      <c r="F88" s="11">
        <f>VLOOKUP($A88,'SAS Data'!$1:$1048576,MATCH(F$1,'SAS Data'!$3:$3,0),FALSE)</f>
        <v>20.472388725927814</v>
      </c>
      <c r="G88" s="12">
        <f>VLOOKUP($A88,'SAS Data'!$1:$1048576,MATCH(G$1,'SAS Data'!$3:$3,0),FALSE)</f>
        <v>7841</v>
      </c>
      <c r="H88" s="12">
        <f>+Activities_Sample[[#This Row],[Act Cph]]*Activities_Sample[[#This Row],[Act Hrsn]]</f>
        <v>160524</v>
      </c>
      <c r="I88" s="10">
        <f>COUNTIF('Act detail'!A:C,A88)</f>
        <v>2</v>
      </c>
      <c r="J88" s="13">
        <v>20</v>
      </c>
      <c r="K88" s="13">
        <v>20.8</v>
      </c>
      <c r="L88" s="13">
        <v>20.399999999999999</v>
      </c>
      <c r="M88" s="13">
        <v>20.399999999999999</v>
      </c>
      <c r="N88" s="37">
        <f>COUNTIFS('Act detail'!$A:$A,$A88,'Act detail'!$C:$C,"&lt;"&amp;L88)</f>
        <v>1</v>
      </c>
      <c r="O88" s="37">
        <f>COUNTIFS('Act detail'!$A:$A,$A88,'Act detail'!$C:$C,"&lt;"&amp;M88)</f>
        <v>1</v>
      </c>
      <c r="P88" s="37">
        <f>COUNTIFS('Act detail'!A:A,$A88,'Act detail'!$C:$C,"&lt;"&amp;$AC$1)</f>
        <v>2</v>
      </c>
      <c r="Q88" s="37">
        <f>COUNTIFS('Act detail'!A:A,$A88,'Act detail'!$C:$C,"&lt;"&amp;$AC$2)</f>
        <v>0</v>
      </c>
      <c r="R88" s="37">
        <f>COUNTIFS('Act detail'!A:A,$A88,'Act detail'!$C:$C,"&lt;"&amp;$AC$3)</f>
        <v>0</v>
      </c>
      <c r="S88" s="12">
        <f>+Activities_Sample[[#This Row],[Act Aide median]]*Activities_Sample[[#This Row],[Act Hrsn]]</f>
        <v>159956.4</v>
      </c>
      <c r="T88" s="12">
        <f>+Activities_Sample[[#This Row],[Act Aide average]]*Activities_Sample[[#This Row],[Act Hrsn]]</f>
        <v>159956.4</v>
      </c>
      <c r="U88" s="14">
        <f>Activities_Sample[[#This Row],[Est median wage cost ]]/Activities_Sample[[#This Row],[Cost]]</f>
        <v>0.9964640801375495</v>
      </c>
      <c r="V88" s="14">
        <f>Activities_Sample[[#This Row],[Est average wage cost]]/Activities_Sample[[#This Row],[Cost]]</f>
        <v>0.9964640801375495</v>
      </c>
      <c r="W88" s="14">
        <f>+Activities_Sample[[#This Row],[Act Aide min]]/Activities_Sample[[#This Row],[Act Aide median]]</f>
        <v>0.98039215686274517</v>
      </c>
      <c r="X88" s="14">
        <f>+Activities_Sample[[#This Row],[Act Aide max]]/Activities_Sample[[#This Row],[Act Aide median]]</f>
        <v>1.0196078431372551</v>
      </c>
      <c r="Y88" s="10">
        <f>VLOOKUP(A88,Summary!$1:$1048576,2,FALSE)</f>
        <v>3</v>
      </c>
    </row>
    <row r="89" spans="1:25" x14ac:dyDescent="0.55000000000000004">
      <c r="A89" s="10">
        <v>912</v>
      </c>
      <c r="B89" s="10" t="s">
        <v>54</v>
      </c>
      <c r="C89" s="10">
        <f>VLOOKUP($A89,'SAS Data'!$1:$1048576,MATCH(C$1,'SAS Data'!$3:$3,0),FALSE)</f>
        <v>4</v>
      </c>
      <c r="D89" s="10">
        <f>VLOOKUP($A89,'SAS Data'!$1:$1048576,MATCH(D$1,'SAS Data'!$3:$3,0),FALSE)</f>
        <v>2</v>
      </c>
      <c r="E89" s="10">
        <f t="shared" si="2"/>
        <v>6</v>
      </c>
      <c r="F89" s="11">
        <f>VLOOKUP($A89,'SAS Data'!$1:$1048576,MATCH(F$1,'SAS Data'!$3:$3,0),FALSE)</f>
        <v>23.654964894684053</v>
      </c>
      <c r="G89" s="12">
        <f>VLOOKUP($A89,'SAS Data'!$1:$1048576,MATCH(G$1,'SAS Data'!$3:$3,0),FALSE)</f>
        <v>9970</v>
      </c>
      <c r="H89" s="12">
        <f>+Activities_Sample[[#This Row],[Act Cph]]*Activities_Sample[[#This Row],[Act Hrsn]]</f>
        <v>235840</v>
      </c>
      <c r="I89" s="10">
        <f>COUNTIF('Act detail'!A:C,A89)</f>
        <v>3</v>
      </c>
      <c r="J89" s="13">
        <v>16</v>
      </c>
      <c r="K89" s="13">
        <v>21.57</v>
      </c>
      <c r="L89" s="13">
        <v>16.79</v>
      </c>
      <c r="M89" s="13">
        <v>18.12</v>
      </c>
      <c r="N89" s="37">
        <f>COUNTIFS('Act detail'!$A:$A,$A89,'Act detail'!$C:$C,"&lt;"&amp;L89)</f>
        <v>1</v>
      </c>
      <c r="O89" s="37">
        <f>COUNTIFS('Act detail'!$A:$A,$A89,'Act detail'!$C:$C,"&lt;"&amp;M89)</f>
        <v>2</v>
      </c>
      <c r="P89" s="37">
        <f>COUNTIFS('Act detail'!A:A,$A89,'Act detail'!$C:$C,"&lt;"&amp;$AC$1)</f>
        <v>3</v>
      </c>
      <c r="Q89" s="37">
        <f>COUNTIFS('Act detail'!A:A,$A89,'Act detail'!$C:$C,"&lt;"&amp;$AC$2)</f>
        <v>2</v>
      </c>
      <c r="R89" s="37">
        <f>COUNTIFS('Act detail'!A:A,$A89,'Act detail'!$C:$C,"&lt;"&amp;$AC$3)</f>
        <v>2</v>
      </c>
      <c r="S89" s="12">
        <f>+Activities_Sample[[#This Row],[Act Aide median]]*Activities_Sample[[#This Row],[Act Hrsn]]</f>
        <v>167396.29999999999</v>
      </c>
      <c r="T89" s="12">
        <f>+Activities_Sample[[#This Row],[Act Aide average]]*Activities_Sample[[#This Row],[Act Hrsn]]</f>
        <v>180656.40000000002</v>
      </c>
      <c r="U89" s="14">
        <f>Activities_Sample[[#This Row],[Est median wage cost ]]/Activities_Sample[[#This Row],[Cost]]</f>
        <v>0.7097875678426051</v>
      </c>
      <c r="V89" s="14">
        <f>Activities_Sample[[#This Row],[Est average wage cost]]/Activities_Sample[[#This Row],[Cost]]</f>
        <v>0.76601255088195397</v>
      </c>
      <c r="W89" s="14">
        <f>+Activities_Sample[[#This Row],[Act Aide min]]/Activities_Sample[[#This Row],[Act Aide median]]</f>
        <v>0.95294818344252541</v>
      </c>
      <c r="X89" s="14">
        <f>+Activities_Sample[[#This Row],[Act Aide max]]/Activities_Sample[[#This Row],[Act Aide median]]</f>
        <v>1.2846932698034546</v>
      </c>
      <c r="Y89" s="10">
        <f>VLOOKUP(A89,Summary!$1:$1048576,2,FALSE)</f>
        <v>3</v>
      </c>
    </row>
    <row r="90" spans="1:25" x14ac:dyDescent="0.55000000000000004">
      <c r="A90" s="10">
        <v>916</v>
      </c>
      <c r="B90" s="10" t="s">
        <v>54</v>
      </c>
      <c r="C90" s="10">
        <f>VLOOKUP($A90,'SAS Data'!$1:$1048576,MATCH(C$1,'SAS Data'!$3:$3,0),FALSE)</f>
        <v>6</v>
      </c>
      <c r="D90" s="10">
        <f>VLOOKUP($A90,'SAS Data'!$1:$1048576,MATCH(D$1,'SAS Data'!$3:$3,0),FALSE)</f>
        <v>2</v>
      </c>
      <c r="E90" s="10">
        <f t="shared" si="2"/>
        <v>8</v>
      </c>
      <c r="F90" s="11">
        <f>VLOOKUP($A90,'SAS Data'!$1:$1048576,MATCH(F$1,'SAS Data'!$3:$3,0),FALSE)</f>
        <v>20.722904122278834</v>
      </c>
      <c r="G90" s="12">
        <f>VLOOKUP($A90,'SAS Data'!$1:$1048576,MATCH(G$1,'SAS Data'!$3:$3,0),FALSE)</f>
        <v>8636</v>
      </c>
      <c r="H90" s="12">
        <f>+Activities_Sample[[#This Row],[Act Cph]]*Activities_Sample[[#This Row],[Act Hrsn]]</f>
        <v>178963</v>
      </c>
      <c r="I90" s="10">
        <f>COUNTIF('Act detail'!A:C,A90)</f>
        <v>6</v>
      </c>
      <c r="J90" s="13">
        <v>16.41</v>
      </c>
      <c r="K90" s="13">
        <v>25.96</v>
      </c>
      <c r="L90" s="13">
        <v>18.799999999999997</v>
      </c>
      <c r="M90" s="13">
        <v>19.563333333333333</v>
      </c>
      <c r="N90" s="37">
        <f>COUNTIFS('Act detail'!$A:$A,$A90,'Act detail'!$C:$C,"&lt;"&amp;L90)</f>
        <v>3</v>
      </c>
      <c r="O90" s="37">
        <f>COUNTIFS('Act detail'!$A:$A,$A90,'Act detail'!$C:$C,"&lt;"&amp;M90)</f>
        <v>3</v>
      </c>
      <c r="P90" s="37">
        <f>COUNTIFS('Act detail'!A:A,$A90,'Act detail'!$C:$C,"&lt;"&amp;$AC$1)</f>
        <v>5</v>
      </c>
      <c r="Q90" s="37">
        <f>COUNTIFS('Act detail'!A:A,$A90,'Act detail'!$C:$C,"&lt;"&amp;$AC$2)</f>
        <v>2</v>
      </c>
      <c r="R90" s="37">
        <f>COUNTIFS('Act detail'!A:A,$A90,'Act detail'!$C:$C,"&lt;"&amp;$AC$3)</f>
        <v>2</v>
      </c>
      <c r="S90" s="12">
        <f>+Activities_Sample[[#This Row],[Act Aide median]]*Activities_Sample[[#This Row],[Act Hrsn]]</f>
        <v>162356.79999999999</v>
      </c>
      <c r="T90" s="12">
        <f>+Activities_Sample[[#This Row],[Act Aide average]]*Activities_Sample[[#This Row],[Act Hrsn]]</f>
        <v>168948.94666666666</v>
      </c>
      <c r="U90" s="14">
        <f>Activities_Sample[[#This Row],[Est median wage cost ]]/Activities_Sample[[#This Row],[Cost]]</f>
        <v>0.90720875264719514</v>
      </c>
      <c r="V90" s="14">
        <f>Activities_Sample[[#This Row],[Est average wage cost]]/Activities_Sample[[#This Row],[Cost]]</f>
        <v>0.9440440016465228</v>
      </c>
      <c r="W90" s="14">
        <f>+Activities_Sample[[#This Row],[Act Aide min]]/Activities_Sample[[#This Row],[Act Aide median]]</f>
        <v>0.87287234042553208</v>
      </c>
      <c r="X90" s="14">
        <f>+Activities_Sample[[#This Row],[Act Aide max]]/Activities_Sample[[#This Row],[Act Aide median]]</f>
        <v>1.3808510638297875</v>
      </c>
      <c r="Y90" s="10">
        <f>VLOOKUP(A90,Summary!$1:$1048576,2,FALSE)</f>
        <v>3</v>
      </c>
    </row>
    <row r="91" spans="1:25" x14ac:dyDescent="0.55000000000000004">
      <c r="A91" s="10">
        <v>926</v>
      </c>
      <c r="B91" s="10" t="s">
        <v>54</v>
      </c>
      <c r="C91" s="10">
        <f>VLOOKUP($A91,'SAS Data'!$1:$1048576,MATCH(C$1,'SAS Data'!$3:$3,0),FALSE)</f>
        <v>4</v>
      </c>
      <c r="D91" s="10">
        <f>VLOOKUP($A91,'SAS Data'!$1:$1048576,MATCH(D$1,'SAS Data'!$3:$3,0),FALSE)</f>
        <v>0</v>
      </c>
      <c r="E91" s="10">
        <f t="shared" si="2"/>
        <v>4</v>
      </c>
      <c r="F91" s="11">
        <f>VLOOKUP($A91,'SAS Data'!$1:$1048576,MATCH(F$1,'SAS Data'!$3:$3,0),FALSE)</f>
        <v>23.750149934029025</v>
      </c>
      <c r="G91" s="12">
        <f>VLOOKUP($A91,'SAS Data'!$1:$1048576,MATCH(G$1,'SAS Data'!$3:$3,0),FALSE)</f>
        <v>8337</v>
      </c>
      <c r="H91" s="12">
        <f>+Activities_Sample[[#This Row],[Act Cph]]*Activities_Sample[[#This Row],[Act Hrsn]]</f>
        <v>198004.99999999997</v>
      </c>
      <c r="I91" s="10">
        <f>COUNTIF('Act detail'!A:C,A91)</f>
        <v>3</v>
      </c>
      <c r="J91" s="13">
        <v>17</v>
      </c>
      <c r="K91" s="13">
        <v>21.63</v>
      </c>
      <c r="L91" s="13">
        <v>18</v>
      </c>
      <c r="M91" s="13">
        <v>18.876666666666665</v>
      </c>
      <c r="N91" s="37">
        <f>COUNTIFS('Act detail'!$A:$A,$A91,'Act detail'!$C:$C,"&lt;"&amp;L91)</f>
        <v>1</v>
      </c>
      <c r="O91" s="37">
        <f>COUNTIFS('Act detail'!$A:$A,$A91,'Act detail'!$C:$C,"&lt;"&amp;M91)</f>
        <v>2</v>
      </c>
      <c r="P91" s="37">
        <f>COUNTIFS('Act detail'!A:A,$A91,'Act detail'!$C:$C,"&lt;"&amp;$AC$1)</f>
        <v>3</v>
      </c>
      <c r="Q91" s="37">
        <f>COUNTIFS('Act detail'!A:A,$A91,'Act detail'!$C:$C,"&lt;"&amp;$AC$2)</f>
        <v>1</v>
      </c>
      <c r="R91" s="37">
        <f>COUNTIFS('Act detail'!A:A,$A91,'Act detail'!$C:$C,"&lt;"&amp;$AC$3)</f>
        <v>1</v>
      </c>
      <c r="S91" s="12">
        <f>+Activities_Sample[[#This Row],[Act Aide median]]*Activities_Sample[[#This Row],[Act Hrsn]]</f>
        <v>150066</v>
      </c>
      <c r="T91" s="12">
        <f>+Activities_Sample[[#This Row],[Act Aide average]]*Activities_Sample[[#This Row],[Act Hrsn]]</f>
        <v>157374.76999999999</v>
      </c>
      <c r="U91" s="14">
        <f>Activities_Sample[[#This Row],[Est median wage cost ]]/Activities_Sample[[#This Row],[Cost]]</f>
        <v>0.75788995227393263</v>
      </c>
      <c r="V91" s="14">
        <f>Activities_Sample[[#This Row],[Est average wage cost]]/Activities_Sample[[#This Row],[Cost]]</f>
        <v>0.7948019999494963</v>
      </c>
      <c r="W91" s="14">
        <f>+Activities_Sample[[#This Row],[Act Aide min]]/Activities_Sample[[#This Row],[Act Aide median]]</f>
        <v>0.94444444444444442</v>
      </c>
      <c r="X91" s="14">
        <f>+Activities_Sample[[#This Row],[Act Aide max]]/Activities_Sample[[#This Row],[Act Aide median]]</f>
        <v>1.2016666666666667</v>
      </c>
      <c r="Y91" s="10">
        <f>VLOOKUP(A91,Summary!$1:$1048576,2,FALSE)</f>
        <v>3</v>
      </c>
    </row>
    <row r="92" spans="1:25" x14ac:dyDescent="0.55000000000000004">
      <c r="A92" s="10">
        <v>928</v>
      </c>
      <c r="B92" s="10" t="s">
        <v>54</v>
      </c>
      <c r="C92" s="10">
        <f>VLOOKUP($A92,'SAS Data'!$1:$1048576,MATCH(C$1,'SAS Data'!$3:$3,0),FALSE)</f>
        <v>2</v>
      </c>
      <c r="D92" s="10">
        <f>VLOOKUP($A92,'SAS Data'!$1:$1048576,MATCH(D$1,'SAS Data'!$3:$3,0),FALSE)</f>
        <v>0</v>
      </c>
      <c r="E92" s="10">
        <f t="shared" si="2"/>
        <v>2</v>
      </c>
      <c r="F92" s="11">
        <f>VLOOKUP($A92,'SAS Data'!$1:$1048576,MATCH(F$1,'SAS Data'!$3:$3,0),FALSE)</f>
        <v>18.991021596699831</v>
      </c>
      <c r="G92" s="12">
        <f>VLOOKUP($A92,'SAS Data'!$1:$1048576,MATCH(G$1,'SAS Data'!$3:$3,0),FALSE)</f>
        <v>4121</v>
      </c>
      <c r="H92" s="12">
        <f>+Activities_Sample[[#This Row],[Act Cph]]*Activities_Sample[[#This Row],[Act Hrsn]]</f>
        <v>78262</v>
      </c>
      <c r="I92" s="10">
        <f>COUNTIF('Act detail'!A:C,A92)</f>
        <v>2</v>
      </c>
      <c r="J92" s="13">
        <v>16</v>
      </c>
      <c r="K92" s="13">
        <v>17.25</v>
      </c>
      <c r="L92" s="13">
        <v>16.625</v>
      </c>
      <c r="M92" s="13">
        <v>16.625</v>
      </c>
      <c r="N92" s="37">
        <f>COUNTIFS('Act detail'!$A:$A,$A92,'Act detail'!$C:$C,"&lt;"&amp;L92)</f>
        <v>1</v>
      </c>
      <c r="O92" s="37">
        <f>COUNTIFS('Act detail'!$A:$A,$A92,'Act detail'!$C:$C,"&lt;"&amp;M92)</f>
        <v>1</v>
      </c>
      <c r="P92" s="37">
        <f>COUNTIFS('Act detail'!A:A,$A92,'Act detail'!$C:$C,"&lt;"&amp;$AC$1)</f>
        <v>2</v>
      </c>
      <c r="Q92" s="37">
        <f>COUNTIFS('Act detail'!A:A,$A92,'Act detail'!$C:$C,"&lt;"&amp;$AC$2)</f>
        <v>1</v>
      </c>
      <c r="R92" s="37">
        <f>COUNTIFS('Act detail'!A:A,$A92,'Act detail'!$C:$C,"&lt;"&amp;$AC$3)</f>
        <v>2</v>
      </c>
      <c r="S92" s="12">
        <f>+Activities_Sample[[#This Row],[Act Aide median]]*Activities_Sample[[#This Row],[Act Hrsn]]</f>
        <v>68511.625</v>
      </c>
      <c r="T92" s="12">
        <f>+Activities_Sample[[#This Row],[Act Aide average]]*Activities_Sample[[#This Row],[Act Hrsn]]</f>
        <v>68511.625</v>
      </c>
      <c r="U92" s="14">
        <f>Activities_Sample[[#This Row],[Est median wage cost ]]/Activities_Sample[[#This Row],[Cost]]</f>
        <v>0.8754136745802561</v>
      </c>
      <c r="V92" s="14">
        <f>Activities_Sample[[#This Row],[Est average wage cost]]/Activities_Sample[[#This Row],[Cost]]</f>
        <v>0.8754136745802561</v>
      </c>
      <c r="W92" s="14">
        <f>+Activities_Sample[[#This Row],[Act Aide min]]/Activities_Sample[[#This Row],[Act Aide median]]</f>
        <v>0.96240601503759393</v>
      </c>
      <c r="X92" s="14">
        <f>+Activities_Sample[[#This Row],[Act Aide max]]/Activities_Sample[[#This Row],[Act Aide median]]</f>
        <v>1.0375939849624061</v>
      </c>
      <c r="Y92" s="10">
        <f>VLOOKUP(A92,Summary!$1:$1048576,2,FALSE)</f>
        <v>1</v>
      </c>
    </row>
    <row r="93" spans="1:25" x14ac:dyDescent="0.55000000000000004">
      <c r="A93" s="10">
        <v>951</v>
      </c>
      <c r="B93" s="10" t="s">
        <v>54</v>
      </c>
      <c r="C93" s="10">
        <f>VLOOKUP($A93,'SAS Data'!$1:$1048576,MATCH(C$1,'SAS Data'!$3:$3,0),FALSE)</f>
        <v>3</v>
      </c>
      <c r="D93" s="10">
        <f>VLOOKUP($A93,'SAS Data'!$1:$1048576,MATCH(D$1,'SAS Data'!$3:$3,0),FALSE)</f>
        <v>2</v>
      </c>
      <c r="E93" s="10">
        <f t="shared" si="2"/>
        <v>5</v>
      </c>
      <c r="F93" s="11">
        <f>VLOOKUP($A93,'SAS Data'!$1:$1048576,MATCH(F$1,'SAS Data'!$3:$3,0),FALSE)</f>
        <v>17.703087529976017</v>
      </c>
      <c r="G93" s="12">
        <f>VLOOKUP($A93,'SAS Data'!$1:$1048576,MATCH(G$1,'SAS Data'!$3:$3,0),FALSE)</f>
        <v>6672</v>
      </c>
      <c r="H93" s="12">
        <f>+Activities_Sample[[#This Row],[Act Cph]]*Activities_Sample[[#This Row],[Act Hrsn]]</f>
        <v>118114.99999999999</v>
      </c>
      <c r="I93" s="10">
        <f>COUNTIF('Act detail'!A:C,A93)</f>
        <v>2</v>
      </c>
      <c r="J93" s="13">
        <v>16.149999999999999</v>
      </c>
      <c r="K93" s="13">
        <v>16.8</v>
      </c>
      <c r="L93" s="13">
        <v>16.475000000000001</v>
      </c>
      <c r="M93" s="13">
        <v>16.475000000000001</v>
      </c>
      <c r="N93" s="37">
        <f>COUNTIFS('Act detail'!$A:$A,$A93,'Act detail'!$C:$C,"&lt;"&amp;L93)</f>
        <v>1</v>
      </c>
      <c r="O93" s="37">
        <f>COUNTIFS('Act detail'!$A:$A,$A93,'Act detail'!$C:$C,"&lt;"&amp;M93)</f>
        <v>1</v>
      </c>
      <c r="P93" s="37">
        <f>COUNTIFS('Act detail'!A:A,$A93,'Act detail'!$C:$C,"&lt;"&amp;$AC$1)</f>
        <v>2</v>
      </c>
      <c r="Q93" s="37">
        <f>COUNTIFS('Act detail'!A:A,$A93,'Act detail'!$C:$C,"&lt;"&amp;$AC$2)</f>
        <v>2</v>
      </c>
      <c r="R93" s="37">
        <f>COUNTIFS('Act detail'!A:A,$A93,'Act detail'!$C:$C,"&lt;"&amp;$AC$3)</f>
        <v>2</v>
      </c>
      <c r="S93" s="12">
        <f>+Activities_Sample[[#This Row],[Act Aide median]]*Activities_Sample[[#This Row],[Act Hrsn]]</f>
        <v>109921.20000000001</v>
      </c>
      <c r="T93" s="12">
        <f>+Activities_Sample[[#This Row],[Act Aide average]]*Activities_Sample[[#This Row],[Act Hrsn]]</f>
        <v>109921.20000000001</v>
      </c>
      <c r="U93" s="14">
        <f>Activities_Sample[[#This Row],[Est median wage cost ]]/Activities_Sample[[#This Row],[Cost]]</f>
        <v>0.9306286246454728</v>
      </c>
      <c r="V93" s="14">
        <f>Activities_Sample[[#This Row],[Est average wage cost]]/Activities_Sample[[#This Row],[Cost]]</f>
        <v>0.9306286246454728</v>
      </c>
      <c r="W93" s="14">
        <f>+Activities_Sample[[#This Row],[Act Aide min]]/Activities_Sample[[#This Row],[Act Aide median]]</f>
        <v>0.98027314112291331</v>
      </c>
      <c r="X93" s="14">
        <f>+Activities_Sample[[#This Row],[Act Aide max]]/Activities_Sample[[#This Row],[Act Aide median]]</f>
        <v>1.0197268588770865</v>
      </c>
      <c r="Y93" s="10">
        <f>VLOOKUP(A93,Summary!$1:$1048576,2,FALSE)</f>
        <v>2</v>
      </c>
    </row>
    <row r="94" spans="1:25" x14ac:dyDescent="0.55000000000000004">
      <c r="A94" s="10">
        <v>953</v>
      </c>
      <c r="B94" s="10" t="s">
        <v>54</v>
      </c>
      <c r="C94" s="10">
        <f>VLOOKUP($A94,'SAS Data'!$1:$1048576,MATCH(C$1,'SAS Data'!$3:$3,0),FALSE)</f>
        <v>1</v>
      </c>
      <c r="D94" s="10">
        <f>VLOOKUP($A94,'SAS Data'!$1:$1048576,MATCH(D$1,'SAS Data'!$3:$3,0),FALSE)</f>
        <v>1</v>
      </c>
      <c r="E94" s="10">
        <f t="shared" si="2"/>
        <v>2</v>
      </c>
      <c r="F94" s="11">
        <f>VLOOKUP($A94,'SAS Data'!$1:$1048576,MATCH(F$1,'SAS Data'!$3:$3,0),FALSE)</f>
        <v>27.602884898439797</v>
      </c>
      <c r="G94" s="12">
        <f>VLOOKUP($A94,'SAS Data'!$1:$1048576,MATCH(G$1,'SAS Data'!$3:$3,0),FALSE)</f>
        <v>3397</v>
      </c>
      <c r="H94" s="12">
        <f>+Activities_Sample[[#This Row],[Act Cph]]*Activities_Sample[[#This Row],[Act Hrsn]]</f>
        <v>93766.999999999985</v>
      </c>
      <c r="I94" s="10">
        <f>COUNTIF('Act detail'!A:C,A94)</f>
        <v>3</v>
      </c>
      <c r="J94" s="13">
        <v>15.12</v>
      </c>
      <c r="K94" s="13">
        <v>20.74</v>
      </c>
      <c r="L94" s="13">
        <v>17.79</v>
      </c>
      <c r="M94" s="13">
        <v>17.883333333333333</v>
      </c>
      <c r="N94" s="37">
        <f>COUNTIFS('Act detail'!$A:$A,$A94,'Act detail'!$C:$C,"&lt;"&amp;L94)</f>
        <v>1</v>
      </c>
      <c r="O94" s="37">
        <f>COUNTIFS('Act detail'!$A:$A,$A94,'Act detail'!$C:$C,"&lt;"&amp;M94)</f>
        <v>2</v>
      </c>
      <c r="P94" s="37">
        <f>COUNTIFS('Act detail'!A:A,$A94,'Act detail'!$C:$C,"&lt;"&amp;$AC$1)</f>
        <v>3</v>
      </c>
      <c r="Q94" s="37">
        <f>COUNTIFS('Act detail'!A:A,$A94,'Act detail'!$C:$C,"&lt;"&amp;$AC$2)</f>
        <v>1</v>
      </c>
      <c r="R94" s="37">
        <f>COUNTIFS('Act detail'!A:A,$A94,'Act detail'!$C:$C,"&lt;"&amp;$AC$3)</f>
        <v>1</v>
      </c>
      <c r="S94" s="12">
        <f>+Activities_Sample[[#This Row],[Act Aide median]]*Activities_Sample[[#This Row],[Act Hrsn]]</f>
        <v>60432.63</v>
      </c>
      <c r="T94" s="12">
        <f>+Activities_Sample[[#This Row],[Act Aide average]]*Activities_Sample[[#This Row],[Act Hrsn]]</f>
        <v>60749.683333333334</v>
      </c>
      <c r="U94" s="14">
        <f>Activities_Sample[[#This Row],[Est median wage cost ]]/Activities_Sample[[#This Row],[Cost]]</f>
        <v>0.64449785105634183</v>
      </c>
      <c r="V94" s="14">
        <f>Activities_Sample[[#This Row],[Est average wage cost]]/Activities_Sample[[#This Row],[Cost]]</f>
        <v>0.64787914013814396</v>
      </c>
      <c r="W94" s="14">
        <f>+Activities_Sample[[#This Row],[Act Aide min]]/Activities_Sample[[#This Row],[Act Aide median]]</f>
        <v>0.8499156829679595</v>
      </c>
      <c r="X94" s="14">
        <f>+Activities_Sample[[#This Row],[Act Aide max]]/Activities_Sample[[#This Row],[Act Aide median]]</f>
        <v>1.1658234963462619</v>
      </c>
      <c r="Y94" s="10">
        <f>VLOOKUP(A94,Summary!$1:$1048576,2,FALSE)</f>
        <v>3</v>
      </c>
    </row>
    <row r="95" spans="1:25" x14ac:dyDescent="0.55000000000000004">
      <c r="A95" s="10">
        <v>959</v>
      </c>
      <c r="B95" s="10" t="s">
        <v>54</v>
      </c>
      <c r="C95" s="10">
        <f>VLOOKUP($A95,'SAS Data'!$1:$1048576,MATCH(C$1,'SAS Data'!$3:$3,0),FALSE)</f>
        <v>2</v>
      </c>
      <c r="D95" s="10">
        <f>VLOOKUP($A95,'SAS Data'!$1:$1048576,MATCH(D$1,'SAS Data'!$3:$3,0),FALSE)</f>
        <v>0</v>
      </c>
      <c r="E95" s="10">
        <f t="shared" si="2"/>
        <v>2</v>
      </c>
      <c r="F95" s="11">
        <f>VLOOKUP($A95,'SAS Data'!$1:$1048576,MATCH(F$1,'SAS Data'!$3:$3,0),FALSE)</f>
        <v>18.492174725531417</v>
      </c>
      <c r="G95" s="12">
        <f>VLOOKUP($A95,'SAS Data'!$1:$1048576,MATCH(G$1,'SAS Data'!$3:$3,0),FALSE)</f>
        <v>4281</v>
      </c>
      <c r="H95" s="12">
        <f>+Activities_Sample[[#This Row],[Act Cph]]*Activities_Sample[[#This Row],[Act Hrsn]]</f>
        <v>79165</v>
      </c>
      <c r="I95" s="10">
        <f>COUNTIF('Act detail'!A:C,A95)</f>
        <v>3</v>
      </c>
      <c r="J95" s="13">
        <v>19.63</v>
      </c>
      <c r="K95" s="13">
        <v>20</v>
      </c>
      <c r="L95" s="13">
        <v>19.63</v>
      </c>
      <c r="M95" s="13">
        <v>19.753333333333334</v>
      </c>
      <c r="N95" s="37">
        <f>COUNTIFS('Act detail'!$A:$A,$A95,'Act detail'!$C:$C,"&lt;"&amp;L95)</f>
        <v>0</v>
      </c>
      <c r="O95" s="37">
        <f>COUNTIFS('Act detail'!$A:$A,$A95,'Act detail'!$C:$C,"&lt;"&amp;M95)</f>
        <v>2</v>
      </c>
      <c r="P95" s="37">
        <f>COUNTIFS('Act detail'!A:A,$A95,'Act detail'!$C:$C,"&lt;"&amp;$AC$1)</f>
        <v>3</v>
      </c>
      <c r="Q95" s="37">
        <f>COUNTIFS('Act detail'!A:A,$A95,'Act detail'!$C:$C,"&lt;"&amp;$AC$2)</f>
        <v>0</v>
      </c>
      <c r="R95" s="37">
        <f>COUNTIFS('Act detail'!A:A,$A95,'Act detail'!$C:$C,"&lt;"&amp;$AC$3)</f>
        <v>0</v>
      </c>
      <c r="S95" s="12">
        <f>+Activities_Sample[[#This Row],[Act Aide median]]*Activities_Sample[[#This Row],[Act Hrsn]]</f>
        <v>84036.03</v>
      </c>
      <c r="T95" s="12">
        <f>+Activities_Sample[[#This Row],[Act Aide average]]*Activities_Sample[[#This Row],[Act Hrsn]]</f>
        <v>84564.02</v>
      </c>
      <c r="U95" s="14">
        <f>Activities_Sample[[#This Row],[Est median wage cost ]]/Activities_Sample[[#This Row],[Cost]]</f>
        <v>1.0615300953704288</v>
      </c>
      <c r="V95" s="14">
        <f>Activities_Sample[[#This Row],[Est average wage cost]]/Activities_Sample[[#This Row],[Cost]]</f>
        <v>1.0681995831491189</v>
      </c>
      <c r="W95" s="14">
        <f>+Activities_Sample[[#This Row],[Act Aide min]]/Activities_Sample[[#This Row],[Act Aide median]]</f>
        <v>1</v>
      </c>
      <c r="X95" s="14">
        <f>+Activities_Sample[[#This Row],[Act Aide max]]/Activities_Sample[[#This Row],[Act Aide median]]</f>
        <v>1.0188487009679064</v>
      </c>
      <c r="Y95" s="10">
        <f>VLOOKUP(A95,Summary!$1:$1048576,2,FALSE)</f>
        <v>2</v>
      </c>
    </row>
    <row r="96" spans="1:25" x14ac:dyDescent="0.55000000000000004">
      <c r="A96" s="10">
        <v>962</v>
      </c>
      <c r="B96" s="10" t="s">
        <v>54</v>
      </c>
      <c r="C96" s="10">
        <f>VLOOKUP($A96,'SAS Data'!$1:$1048576,MATCH(C$1,'SAS Data'!$3:$3,0),FALSE)</f>
        <v>2</v>
      </c>
      <c r="D96" s="10">
        <f>VLOOKUP($A96,'SAS Data'!$1:$1048576,MATCH(D$1,'SAS Data'!$3:$3,0),FALSE)</f>
        <v>1</v>
      </c>
      <c r="E96" s="10">
        <f t="shared" si="2"/>
        <v>3</v>
      </c>
      <c r="F96" s="11">
        <f>VLOOKUP($A96,'SAS Data'!$1:$1048576,MATCH(F$1,'SAS Data'!$3:$3,0),FALSE)</f>
        <v>20.633981738785234</v>
      </c>
      <c r="G96" s="12">
        <f>VLOOKUP($A96,'SAS Data'!$1:$1048576,MATCH(G$1,'SAS Data'!$3:$3,0),FALSE)</f>
        <v>5038</v>
      </c>
      <c r="H96" s="12">
        <f>+Activities_Sample[[#This Row],[Act Cph]]*Activities_Sample[[#This Row],[Act Hrsn]]</f>
        <v>103954.00000000001</v>
      </c>
      <c r="I96" s="10">
        <f>COUNTIF('Act detail'!A:C,A96)</f>
        <v>7</v>
      </c>
      <c r="J96" s="13">
        <v>16.079999999999998</v>
      </c>
      <c r="K96" s="13">
        <v>19.3</v>
      </c>
      <c r="L96" s="13">
        <v>16.88</v>
      </c>
      <c r="M96" s="13">
        <v>17.114285714285714</v>
      </c>
      <c r="N96" s="37">
        <f>COUNTIFS('Act detail'!$A:$A,$A96,'Act detail'!$C:$C,"&lt;"&amp;L96)</f>
        <v>2</v>
      </c>
      <c r="O96" s="37">
        <f>COUNTIFS('Act detail'!$A:$A,$A96,'Act detail'!$C:$C,"&lt;"&amp;M96)</f>
        <v>4</v>
      </c>
      <c r="P96" s="37">
        <f>COUNTIFS('Act detail'!A:A,$A96,'Act detail'!$C:$C,"&lt;"&amp;$AC$1)</f>
        <v>7</v>
      </c>
      <c r="Q96" s="37">
        <f>COUNTIFS('Act detail'!A:A,$A96,'Act detail'!$C:$C,"&lt;"&amp;$AC$2)</f>
        <v>4</v>
      </c>
      <c r="R96" s="37">
        <f>COUNTIFS('Act detail'!A:A,$A96,'Act detail'!$C:$C,"&lt;"&amp;$AC$3)</f>
        <v>6</v>
      </c>
      <c r="S96" s="12">
        <f>+Activities_Sample[[#This Row],[Act Aide median]]*Activities_Sample[[#This Row],[Act Hrsn]]</f>
        <v>85041.439999999988</v>
      </c>
      <c r="T96" s="12">
        <f>+Activities_Sample[[#This Row],[Act Aide average]]*Activities_Sample[[#This Row],[Act Hrsn]]</f>
        <v>86221.771428571432</v>
      </c>
      <c r="U96" s="14">
        <f>Activities_Sample[[#This Row],[Est median wage cost ]]/Activities_Sample[[#This Row],[Cost]]</f>
        <v>0.81806799161167421</v>
      </c>
      <c r="V96" s="14">
        <f>Activities_Sample[[#This Row],[Est average wage cost]]/Activities_Sample[[#This Row],[Cost]]</f>
        <v>0.82942235439301437</v>
      </c>
      <c r="W96" s="14">
        <f>+Activities_Sample[[#This Row],[Act Aide min]]/Activities_Sample[[#This Row],[Act Aide median]]</f>
        <v>0.95260663507109</v>
      </c>
      <c r="X96" s="14">
        <f>+Activities_Sample[[#This Row],[Act Aide max]]/Activities_Sample[[#This Row],[Act Aide median]]</f>
        <v>1.1433649289099528</v>
      </c>
      <c r="Y96" s="10">
        <f>VLOOKUP(A96,Summary!$1:$1048576,2,FALSE)</f>
        <v>2</v>
      </c>
    </row>
    <row r="97" spans="1:25" x14ac:dyDescent="0.55000000000000004">
      <c r="A97" s="10">
        <v>984</v>
      </c>
      <c r="B97" s="10" t="s">
        <v>54</v>
      </c>
      <c r="C97" s="10">
        <f>VLOOKUP($A97,'SAS Data'!$1:$1048576,MATCH(C$1,'SAS Data'!$3:$3,0),FALSE)</f>
        <v>1</v>
      </c>
      <c r="D97" s="10">
        <f>VLOOKUP($A97,'SAS Data'!$1:$1048576,MATCH(D$1,'SAS Data'!$3:$3,0),FALSE)</f>
        <v>2</v>
      </c>
      <c r="E97" s="10">
        <f t="shared" si="2"/>
        <v>3</v>
      </c>
      <c r="F97" s="11">
        <f>VLOOKUP($A97,'SAS Data'!$1:$1048576,MATCH(F$1,'SAS Data'!$3:$3,0),FALSE)</f>
        <v>23.502725208175622</v>
      </c>
      <c r="G97" s="12">
        <f>VLOOKUP($A97,'SAS Data'!$1:$1048576,MATCH(G$1,'SAS Data'!$3:$3,0),FALSE)</f>
        <v>13210</v>
      </c>
      <c r="H97" s="12">
        <f>+Activities_Sample[[#This Row],[Act Cph]]*Activities_Sample[[#This Row],[Act Hrsn]]</f>
        <v>310471</v>
      </c>
      <c r="I97" s="10">
        <f>COUNTIF('Act detail'!A:C,A97)</f>
        <v>2</v>
      </c>
      <c r="J97" s="13">
        <v>16.5</v>
      </c>
      <c r="K97" s="13">
        <v>16.920000000000002</v>
      </c>
      <c r="L97" s="13">
        <v>16.71</v>
      </c>
      <c r="M97" s="13">
        <v>16.71</v>
      </c>
      <c r="N97" s="37">
        <f>COUNTIFS('Act detail'!$A:$A,$A97,'Act detail'!$C:$C,"&lt;"&amp;L97)</f>
        <v>1</v>
      </c>
      <c r="O97" s="37">
        <f>COUNTIFS('Act detail'!$A:$A,$A97,'Act detail'!$C:$C,"&lt;"&amp;M97)</f>
        <v>1</v>
      </c>
      <c r="P97" s="37">
        <f>COUNTIFS('Act detail'!A:A,$A97,'Act detail'!$C:$C,"&lt;"&amp;$AC$1)</f>
        <v>2</v>
      </c>
      <c r="Q97" s="37">
        <f>COUNTIFS('Act detail'!A:A,$A97,'Act detail'!$C:$C,"&lt;"&amp;$AC$2)</f>
        <v>2</v>
      </c>
      <c r="R97" s="37">
        <f>COUNTIFS('Act detail'!A:A,$A97,'Act detail'!$C:$C,"&lt;"&amp;$AC$3)</f>
        <v>2</v>
      </c>
      <c r="S97" s="12">
        <f>+Activities_Sample[[#This Row],[Act Aide median]]*Activities_Sample[[#This Row],[Act Hrsn]]</f>
        <v>220739.1</v>
      </c>
      <c r="T97" s="12">
        <f>+Activities_Sample[[#This Row],[Act Aide average]]*Activities_Sample[[#This Row],[Act Hrsn]]</f>
        <v>220739.1</v>
      </c>
      <c r="U97" s="14">
        <f>Activities_Sample[[#This Row],[Est median wage cost ]]/Activities_Sample[[#This Row],[Cost]]</f>
        <v>0.71098137990343702</v>
      </c>
      <c r="V97" s="14">
        <f>Activities_Sample[[#This Row],[Est average wage cost]]/Activities_Sample[[#This Row],[Cost]]</f>
        <v>0.71098137990343702</v>
      </c>
      <c r="W97" s="14">
        <f>+Activities_Sample[[#This Row],[Act Aide min]]/Activities_Sample[[#This Row],[Act Aide median]]</f>
        <v>0.9874326750448833</v>
      </c>
      <c r="X97" s="14">
        <f>+Activities_Sample[[#This Row],[Act Aide max]]/Activities_Sample[[#This Row],[Act Aide median]]</f>
        <v>1.0125673249551168</v>
      </c>
      <c r="Y97" s="10">
        <f>VLOOKUP(A97,Summary!$1:$1048576,2,FALSE)</f>
        <v>2</v>
      </c>
    </row>
    <row r="98" spans="1:25" x14ac:dyDescent="0.55000000000000004">
      <c r="A98" s="10">
        <v>999</v>
      </c>
      <c r="B98" s="10" t="s">
        <v>54</v>
      </c>
      <c r="C98" s="10">
        <f>VLOOKUP($A98,'SAS Data'!$1:$1048576,MATCH(C$1,'SAS Data'!$3:$3,0),FALSE)</f>
        <v>8</v>
      </c>
      <c r="D98" s="10">
        <f>VLOOKUP($A98,'SAS Data'!$1:$1048576,MATCH(D$1,'SAS Data'!$3:$3,0),FALSE)</f>
        <v>3</v>
      </c>
      <c r="E98" s="10">
        <f t="shared" si="2"/>
        <v>11</v>
      </c>
      <c r="F98" s="11">
        <f>VLOOKUP($A98,'SAS Data'!$1:$1048576,MATCH(F$1,'SAS Data'!$3:$3,0),FALSE)</f>
        <v>17.90121699196326</v>
      </c>
      <c r="G98" s="12">
        <f>VLOOKUP($A98,'SAS Data'!$1:$1048576,MATCH(G$1,'SAS Data'!$3:$3,0),FALSE)</f>
        <v>21775</v>
      </c>
      <c r="H98" s="12">
        <f>+Activities_Sample[[#This Row],[Act Cph]]*Activities_Sample[[#This Row],[Act Hrsn]]</f>
        <v>389799</v>
      </c>
      <c r="I98" s="10">
        <f>COUNTIF('Act detail'!A:C,A98)</f>
        <v>4</v>
      </c>
      <c r="J98" s="13">
        <v>15.72</v>
      </c>
      <c r="K98" s="13">
        <v>18.12</v>
      </c>
      <c r="L98" s="13">
        <v>16.61</v>
      </c>
      <c r="M98" s="13">
        <v>16.765000000000001</v>
      </c>
      <c r="N98" s="37">
        <f>COUNTIFS('Act detail'!$A:$A,$A98,'Act detail'!$C:$C,"&lt;"&amp;L98)</f>
        <v>2</v>
      </c>
      <c r="O98" s="37">
        <f>COUNTIFS('Act detail'!$A:$A,$A98,'Act detail'!$C:$C,"&lt;"&amp;M98)</f>
        <v>2</v>
      </c>
      <c r="P98" s="37">
        <f>COUNTIFS('Act detail'!A:A,$A98,'Act detail'!$C:$C,"&lt;"&amp;$AC$1)</f>
        <v>4</v>
      </c>
      <c r="Q98" s="37">
        <f>COUNTIFS('Act detail'!A:A,$A98,'Act detail'!$C:$C,"&lt;"&amp;$AC$2)</f>
        <v>2</v>
      </c>
      <c r="R98" s="37">
        <f>COUNTIFS('Act detail'!A:A,$A98,'Act detail'!$C:$C,"&lt;"&amp;$AC$3)</f>
        <v>2</v>
      </c>
      <c r="S98" s="12">
        <f>+Activities_Sample[[#This Row],[Act Aide median]]*Activities_Sample[[#This Row],[Act Hrsn]]</f>
        <v>361682.75</v>
      </c>
      <c r="T98" s="12">
        <f>+Activities_Sample[[#This Row],[Act Aide average]]*Activities_Sample[[#This Row],[Act Hrsn]]</f>
        <v>365057.875</v>
      </c>
      <c r="U98" s="14">
        <f>Activities_Sample[[#This Row],[Est median wage cost ]]/Activities_Sample[[#This Row],[Cost]]</f>
        <v>0.92786987652610708</v>
      </c>
      <c r="V98" s="14">
        <f>Activities_Sample[[#This Row],[Est average wage cost]]/Activities_Sample[[#This Row],[Cost]]</f>
        <v>0.93652850571704904</v>
      </c>
      <c r="W98" s="14">
        <f>+Activities_Sample[[#This Row],[Act Aide min]]/Activities_Sample[[#This Row],[Act Aide median]]</f>
        <v>0.94641782059000612</v>
      </c>
      <c r="X98" s="14">
        <f>+Activities_Sample[[#This Row],[Act Aide max]]/Activities_Sample[[#This Row],[Act Aide median]]</f>
        <v>1.0909090909090911</v>
      </c>
      <c r="Y98" s="10">
        <f>VLOOKUP(A98,Summary!$1:$1048576,2,FALSE)</f>
        <v>2</v>
      </c>
    </row>
    <row r="99" spans="1:25" x14ac:dyDescent="0.55000000000000004">
      <c r="C99" s="10">
        <f>SUBTOTAL(109,Activities_Sample[Ftempactivities])</f>
        <v>297</v>
      </c>
      <c r="D99" s="10">
        <f>SUBTOTAL(109,Activities_Sample[Ptempactivities])</f>
        <v>194</v>
      </c>
      <c r="E99" s="10">
        <f>SUBTOTAL(109,Activities_Sample[Total employees per CR])</f>
        <v>491</v>
      </c>
      <c r="F99" s="16">
        <f>Activities_Sample[[#Totals],[Cost]]/Activities_Sample[[#Totals],[Act Hrsn]]</f>
        <v>19.802046375818673</v>
      </c>
      <c r="G99" s="17">
        <f>SUBTOTAL(109,Activities_Sample[Act Hrsn])</f>
        <v>735642</v>
      </c>
      <c r="H99" s="17">
        <f>SUBTOTAL(109,Activities_Sample[Cost])</f>
        <v>14567217</v>
      </c>
      <c r="I99" s="10">
        <f>SUBTOTAL(109,Activities_Sample[Act Aide count Per Data Sample])</f>
        <v>428</v>
      </c>
      <c r="J99" s="18">
        <f>SUBTOTAL(101,Activities_Sample[Act Aide min])</f>
        <v>16.367979381443295</v>
      </c>
      <c r="K99" s="18">
        <f>SUBTOTAL(101,Activities_Sample[Act Aide max])</f>
        <v>19.098440206185561</v>
      </c>
      <c r="L99" s="18">
        <f>SUBTOTAL(101,Activities_Sample[Act Aide median])</f>
        <v>17.389494845360822</v>
      </c>
      <c r="M99" s="18">
        <f>SUBTOTAL(101,Activities_Sample[Act Aide average])</f>
        <v>17.517129781100913</v>
      </c>
      <c r="N99" s="17">
        <f>SUBTOTAL(109,Activities_Sample[Below median])</f>
        <v>165</v>
      </c>
      <c r="O99" s="17">
        <f>SUBTOTAL(109,Activities_Sample[Below Average])</f>
        <v>225</v>
      </c>
      <c r="P99" s="17">
        <f>SUBTOTAL(109,Activities_Sample[Below Floor])</f>
        <v>420</v>
      </c>
      <c r="Q99" s="17">
        <f>SUBTOTAL(109,Activities_Sample[Below weighted average median wage])</f>
        <v>244</v>
      </c>
      <c r="R99" s="17">
        <f>SUBTOTAL(109,Activities_Sample[Below weighted average, average wage])</f>
        <v>252</v>
      </c>
      <c r="S99" s="17">
        <f>SUBTOTAL(109,Activities_Sample[[Est median wage cost ]])</f>
        <v>12664776.627250003</v>
      </c>
      <c r="T99" s="17">
        <f>SUBTOTAL(109,Activities_Sample[Est average wage cost])</f>
        <v>12804154.500768529</v>
      </c>
      <c r="U99" s="19">
        <f>+Activities_Sample[[#Totals],[Est median wage cost ]]/Activities_Sample[[#Totals],[Cost]]</f>
        <v>0.8694026200920878</v>
      </c>
      <c r="V99" s="19">
        <f>+Activities_Sample[[#Totals],[Est average wage cost]]/Activities_Sample[[#Totals],[Cost]]</f>
        <v>0.8789705336831688</v>
      </c>
      <c r="W99" s="20">
        <f>+Activities_Sample[[#Totals],[Act Aide min]]/Activities_Sample[[#Totals],[Act Aide median]]</f>
        <v>0.94125674880141519</v>
      </c>
      <c r="X99" s="20">
        <f>+Activities_Sample[[#Totals],[Act Aide max]]/Activities_Sample[[#Totals],[Act Aide median]]</f>
        <v>1.0982745833632224</v>
      </c>
    </row>
    <row r="100" spans="1:25" x14ac:dyDescent="0.55000000000000004">
      <c r="I100" s="10">
        <f>SUM(I2:I98)</f>
        <v>428</v>
      </c>
      <c r="M100" s="13" t="s">
        <v>88</v>
      </c>
      <c r="N100" s="10">
        <f>SUM(N2:N98)</f>
        <v>165</v>
      </c>
      <c r="O100" s="10">
        <f>SUM(O2:O98)</f>
        <v>225</v>
      </c>
      <c r="P100" s="10">
        <f>SUM(P2:P98)</f>
        <v>420</v>
      </c>
      <c r="Q100" s="10">
        <f>SUM(Q2:Q98)</f>
        <v>244</v>
      </c>
      <c r="R100" s="10">
        <f>SUM(R2:R98)</f>
        <v>252</v>
      </c>
    </row>
    <row r="101" spans="1:25" x14ac:dyDescent="0.55000000000000004">
      <c r="I101" s="10">
        <f>SUMIF($Y$2:$Y$98,$M101,I$2:I$98)</f>
        <v>137</v>
      </c>
      <c r="M101" s="13">
        <v>1</v>
      </c>
      <c r="N101" s="10">
        <f t="shared" ref="N101:R103" si="3">SUMIF($Y$2:$Y$98,$M101,N$2:N$98)</f>
        <v>57</v>
      </c>
      <c r="O101" s="10">
        <f t="shared" si="3"/>
        <v>83</v>
      </c>
      <c r="P101" s="10">
        <f t="shared" si="3"/>
        <v>136</v>
      </c>
      <c r="Q101" s="10">
        <f t="shared" si="3"/>
        <v>96</v>
      </c>
      <c r="R101" s="10">
        <f t="shared" si="3"/>
        <v>101</v>
      </c>
    </row>
    <row r="102" spans="1:25" x14ac:dyDescent="0.55000000000000004">
      <c r="I102" s="10">
        <f>SUMIF($Y$2:$Y$98,$M102,I$2:I$98)</f>
        <v>165</v>
      </c>
      <c r="M102" s="13">
        <v>2</v>
      </c>
      <c r="N102" s="10">
        <f t="shared" si="3"/>
        <v>61</v>
      </c>
      <c r="O102" s="10">
        <f t="shared" si="3"/>
        <v>82</v>
      </c>
      <c r="P102" s="10">
        <f t="shared" si="3"/>
        <v>162</v>
      </c>
      <c r="Q102" s="10">
        <f t="shared" si="3"/>
        <v>99</v>
      </c>
      <c r="R102" s="10">
        <f t="shared" si="3"/>
        <v>101</v>
      </c>
    </row>
    <row r="103" spans="1:25" x14ac:dyDescent="0.55000000000000004">
      <c r="I103" s="10">
        <f>SUMIF($Y$2:$Y$98,$M103,I$2:I$98)</f>
        <v>126</v>
      </c>
      <c r="M103" s="13">
        <v>3</v>
      </c>
      <c r="N103" s="10">
        <f t="shared" si="3"/>
        <v>47</v>
      </c>
      <c r="O103" s="10">
        <f t="shared" si="3"/>
        <v>60</v>
      </c>
      <c r="P103" s="10">
        <f t="shared" si="3"/>
        <v>122</v>
      </c>
      <c r="Q103" s="10">
        <f t="shared" si="3"/>
        <v>49</v>
      </c>
      <c r="R103" s="10">
        <f t="shared" si="3"/>
        <v>50</v>
      </c>
    </row>
  </sheetData>
  <sheetProtection algorithmName="SHA-512" hashValue="MMezHK7mTmHFEbOheM8SnNO3Wa3cno6rvXhjN8bwifVlkgSK7sX3ejAn9PNHAEQR4CicKs2vdeYDhEsdiOBLjA==" saltValue="I/HWJt5s2CXprpJ5WLslm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7E41-5187-427E-A02C-87D44B777A58}">
  <dimension ref="A1:C429"/>
  <sheetViews>
    <sheetView topLeftCell="A41" workbookViewId="0">
      <selection activeCell="A41" sqref="A1:XFD1048576"/>
    </sheetView>
  </sheetViews>
  <sheetFormatPr defaultColWidth="9.15625" defaultRowHeight="14.4" x14ac:dyDescent="0.55000000000000004"/>
  <cols>
    <col min="1" max="16384" width="9.15625" style="68"/>
  </cols>
  <sheetData>
    <row r="1" spans="1:3" x14ac:dyDescent="0.55000000000000004">
      <c r="A1" s="68" t="s">
        <v>13</v>
      </c>
      <c r="C1" s="68" t="s">
        <v>155</v>
      </c>
    </row>
    <row r="2" spans="1:3" x14ac:dyDescent="0.55000000000000004">
      <c r="A2" s="68">
        <v>728</v>
      </c>
      <c r="C2" s="68">
        <v>15.06</v>
      </c>
    </row>
    <row r="3" spans="1:3" x14ac:dyDescent="0.55000000000000004">
      <c r="A3" s="68">
        <v>268</v>
      </c>
      <c r="C3" s="68">
        <v>20.260000000000002</v>
      </c>
    </row>
    <row r="4" spans="1:3" x14ac:dyDescent="0.55000000000000004">
      <c r="A4" s="68">
        <v>814</v>
      </c>
      <c r="C4" s="68">
        <v>18.25</v>
      </c>
    </row>
    <row r="5" spans="1:3" x14ac:dyDescent="0.55000000000000004">
      <c r="A5" s="68">
        <v>814</v>
      </c>
      <c r="C5" s="68">
        <v>19.22</v>
      </c>
    </row>
    <row r="6" spans="1:3" x14ac:dyDescent="0.55000000000000004">
      <c r="A6" s="68">
        <v>814</v>
      </c>
      <c r="C6" s="68">
        <v>21</v>
      </c>
    </row>
    <row r="7" spans="1:3" x14ac:dyDescent="0.55000000000000004">
      <c r="A7" s="68">
        <v>814</v>
      </c>
      <c r="C7" s="68">
        <v>23.32</v>
      </c>
    </row>
    <row r="8" spans="1:3" x14ac:dyDescent="0.55000000000000004">
      <c r="A8" s="68">
        <v>567</v>
      </c>
      <c r="C8" s="68">
        <v>17.690000000000001</v>
      </c>
    </row>
    <row r="9" spans="1:3" x14ac:dyDescent="0.55000000000000004">
      <c r="A9" s="68">
        <v>567</v>
      </c>
      <c r="C9" s="68">
        <v>16.2</v>
      </c>
    </row>
    <row r="10" spans="1:3" x14ac:dyDescent="0.55000000000000004">
      <c r="A10" s="68">
        <v>567</v>
      </c>
      <c r="C10" s="68">
        <v>16.7</v>
      </c>
    </row>
    <row r="11" spans="1:3" x14ac:dyDescent="0.55000000000000004">
      <c r="A11" s="68">
        <v>567</v>
      </c>
      <c r="C11" s="68">
        <v>16.7</v>
      </c>
    </row>
    <row r="12" spans="1:3" x14ac:dyDescent="0.55000000000000004">
      <c r="A12" s="68">
        <v>567</v>
      </c>
      <c r="C12" s="68">
        <v>16.2</v>
      </c>
    </row>
    <row r="13" spans="1:3" x14ac:dyDescent="0.55000000000000004">
      <c r="A13" s="68">
        <v>506</v>
      </c>
      <c r="C13" s="68">
        <v>20.350000000000001</v>
      </c>
    </row>
    <row r="14" spans="1:3" x14ac:dyDescent="0.55000000000000004">
      <c r="A14" s="68">
        <v>506</v>
      </c>
      <c r="C14" s="68">
        <v>23.1</v>
      </c>
    </row>
    <row r="15" spans="1:3" x14ac:dyDescent="0.55000000000000004">
      <c r="A15" s="68">
        <v>506</v>
      </c>
      <c r="C15" s="68">
        <v>19.25</v>
      </c>
    </row>
    <row r="16" spans="1:3" x14ac:dyDescent="0.55000000000000004">
      <c r="A16" s="68">
        <v>506</v>
      </c>
      <c r="C16" s="68">
        <v>19.25</v>
      </c>
    </row>
    <row r="17" spans="1:3" x14ac:dyDescent="0.55000000000000004">
      <c r="A17" s="68">
        <v>506</v>
      </c>
      <c r="C17" s="68">
        <v>19.25</v>
      </c>
    </row>
    <row r="18" spans="1:3" x14ac:dyDescent="0.55000000000000004">
      <c r="A18" s="68">
        <v>999</v>
      </c>
      <c r="C18" s="68">
        <v>17.5</v>
      </c>
    </row>
    <row r="19" spans="1:3" x14ac:dyDescent="0.55000000000000004">
      <c r="A19" s="68">
        <v>999</v>
      </c>
      <c r="C19" s="68">
        <v>18.12</v>
      </c>
    </row>
    <row r="20" spans="1:3" x14ac:dyDescent="0.55000000000000004">
      <c r="A20" s="68">
        <v>999</v>
      </c>
      <c r="C20" s="68">
        <v>15.72</v>
      </c>
    </row>
    <row r="21" spans="1:3" x14ac:dyDescent="0.55000000000000004">
      <c r="A21" s="68">
        <v>999</v>
      </c>
      <c r="C21" s="68">
        <v>15.72</v>
      </c>
    </row>
    <row r="22" spans="1:3" x14ac:dyDescent="0.55000000000000004">
      <c r="A22" s="68">
        <v>183</v>
      </c>
      <c r="C22" s="68">
        <v>24.53</v>
      </c>
    </row>
    <row r="23" spans="1:3" x14ac:dyDescent="0.55000000000000004">
      <c r="A23" s="68">
        <v>164</v>
      </c>
      <c r="C23" s="68">
        <v>16.89</v>
      </c>
    </row>
    <row r="24" spans="1:3" x14ac:dyDescent="0.55000000000000004">
      <c r="A24" s="68">
        <v>164</v>
      </c>
      <c r="C24" s="68">
        <v>19.02</v>
      </c>
    </row>
    <row r="25" spans="1:3" x14ac:dyDescent="0.55000000000000004">
      <c r="A25" s="68">
        <v>951</v>
      </c>
      <c r="C25" s="68">
        <v>16.149999999999999</v>
      </c>
    </row>
    <row r="26" spans="1:3" x14ac:dyDescent="0.55000000000000004">
      <c r="A26" s="68">
        <v>951</v>
      </c>
      <c r="C26" s="68">
        <v>16.8</v>
      </c>
    </row>
    <row r="27" spans="1:3" x14ac:dyDescent="0.55000000000000004">
      <c r="A27" s="68">
        <v>783</v>
      </c>
      <c r="C27" s="68">
        <v>13.9</v>
      </c>
    </row>
    <row r="28" spans="1:3" x14ac:dyDescent="0.55000000000000004">
      <c r="A28" s="68">
        <v>783</v>
      </c>
      <c r="C28" s="68">
        <v>15.4</v>
      </c>
    </row>
    <row r="29" spans="1:3" x14ac:dyDescent="0.55000000000000004">
      <c r="A29" s="68">
        <v>783</v>
      </c>
      <c r="C29" s="68">
        <v>14.025</v>
      </c>
    </row>
    <row r="30" spans="1:3" x14ac:dyDescent="0.55000000000000004">
      <c r="A30" s="68">
        <v>783</v>
      </c>
      <c r="C30" s="68">
        <v>12.61</v>
      </c>
    </row>
    <row r="31" spans="1:3" x14ac:dyDescent="0.55000000000000004">
      <c r="A31" s="68">
        <v>783</v>
      </c>
      <c r="C31" s="68">
        <v>12.584</v>
      </c>
    </row>
    <row r="32" spans="1:3" x14ac:dyDescent="0.55000000000000004">
      <c r="A32" s="68">
        <v>783</v>
      </c>
      <c r="C32" s="68">
        <v>12.61</v>
      </c>
    </row>
    <row r="33" spans="1:3" x14ac:dyDescent="0.55000000000000004">
      <c r="A33" s="68">
        <v>783</v>
      </c>
      <c r="C33" s="68">
        <v>13.75</v>
      </c>
    </row>
    <row r="34" spans="1:3" x14ac:dyDescent="0.55000000000000004">
      <c r="A34" s="68">
        <v>783</v>
      </c>
      <c r="C34" s="68">
        <v>12.584</v>
      </c>
    </row>
    <row r="35" spans="1:3" x14ac:dyDescent="0.55000000000000004">
      <c r="A35" s="68">
        <v>788</v>
      </c>
      <c r="C35" s="68">
        <v>17.8</v>
      </c>
    </row>
    <row r="36" spans="1:3" x14ac:dyDescent="0.55000000000000004">
      <c r="A36" s="68">
        <v>529</v>
      </c>
      <c r="C36" s="68">
        <v>17.68</v>
      </c>
    </row>
    <row r="37" spans="1:3" x14ac:dyDescent="0.55000000000000004">
      <c r="A37" s="68">
        <v>529</v>
      </c>
      <c r="C37" s="68">
        <v>17.8</v>
      </c>
    </row>
    <row r="38" spans="1:3" x14ac:dyDescent="0.55000000000000004">
      <c r="A38" s="68">
        <v>421</v>
      </c>
      <c r="C38" s="68">
        <v>17.579999999999998</v>
      </c>
    </row>
    <row r="39" spans="1:3" x14ac:dyDescent="0.55000000000000004">
      <c r="A39" s="68">
        <v>421</v>
      </c>
      <c r="C39" s="68">
        <v>16.32</v>
      </c>
    </row>
    <row r="40" spans="1:3" x14ac:dyDescent="0.55000000000000004">
      <c r="A40" s="68">
        <v>421</v>
      </c>
      <c r="C40" s="68">
        <v>15.37</v>
      </c>
    </row>
    <row r="41" spans="1:3" x14ac:dyDescent="0.55000000000000004">
      <c r="A41" s="68">
        <v>421</v>
      </c>
      <c r="C41" s="68">
        <v>16.32</v>
      </c>
    </row>
    <row r="42" spans="1:3" x14ac:dyDescent="0.55000000000000004">
      <c r="A42" s="68">
        <v>421</v>
      </c>
      <c r="C42" s="68">
        <v>15.6</v>
      </c>
    </row>
    <row r="43" spans="1:3" x14ac:dyDescent="0.55000000000000004">
      <c r="A43" s="68">
        <v>421</v>
      </c>
      <c r="C43" s="68">
        <v>14.06</v>
      </c>
    </row>
    <row r="44" spans="1:3" x14ac:dyDescent="0.55000000000000004">
      <c r="A44" s="68">
        <v>421</v>
      </c>
      <c r="C44" s="68">
        <v>14.06</v>
      </c>
    </row>
    <row r="45" spans="1:3" x14ac:dyDescent="0.55000000000000004">
      <c r="A45" s="68">
        <v>236</v>
      </c>
      <c r="C45" s="68">
        <v>18.39</v>
      </c>
    </row>
    <row r="46" spans="1:3" x14ac:dyDescent="0.55000000000000004">
      <c r="A46" s="68">
        <v>236</v>
      </c>
      <c r="C46" s="68">
        <v>16.23</v>
      </c>
    </row>
    <row r="47" spans="1:3" x14ac:dyDescent="0.55000000000000004">
      <c r="A47" s="68">
        <v>236</v>
      </c>
      <c r="C47" s="68">
        <v>15.83</v>
      </c>
    </row>
    <row r="48" spans="1:3" x14ac:dyDescent="0.55000000000000004">
      <c r="A48" s="68">
        <v>236</v>
      </c>
      <c r="C48" s="68">
        <v>16.23</v>
      </c>
    </row>
    <row r="49" spans="1:3" x14ac:dyDescent="0.55000000000000004">
      <c r="A49" s="68">
        <v>236</v>
      </c>
      <c r="C49" s="68">
        <v>16.87</v>
      </c>
    </row>
    <row r="50" spans="1:3" x14ac:dyDescent="0.55000000000000004">
      <c r="A50" s="68">
        <v>236</v>
      </c>
      <c r="C50" s="68">
        <v>15.83</v>
      </c>
    </row>
    <row r="51" spans="1:3" x14ac:dyDescent="0.55000000000000004">
      <c r="A51" s="68">
        <v>776</v>
      </c>
      <c r="C51" s="68">
        <v>13</v>
      </c>
    </row>
    <row r="52" spans="1:3" x14ac:dyDescent="0.55000000000000004">
      <c r="A52" s="68">
        <v>776</v>
      </c>
      <c r="C52" s="68">
        <v>16</v>
      </c>
    </row>
    <row r="53" spans="1:3" x14ac:dyDescent="0.55000000000000004">
      <c r="A53" s="68">
        <v>776</v>
      </c>
      <c r="C53" s="68">
        <v>20</v>
      </c>
    </row>
    <row r="54" spans="1:3" x14ac:dyDescent="0.55000000000000004">
      <c r="A54" s="68">
        <v>776</v>
      </c>
      <c r="C54" s="68">
        <v>15</v>
      </c>
    </row>
    <row r="55" spans="1:3" x14ac:dyDescent="0.55000000000000004">
      <c r="A55" s="68">
        <v>928</v>
      </c>
      <c r="C55" s="68">
        <v>17.25</v>
      </c>
    </row>
    <row r="56" spans="1:3" x14ac:dyDescent="0.55000000000000004">
      <c r="A56" s="68">
        <v>928</v>
      </c>
      <c r="C56" s="68">
        <v>16</v>
      </c>
    </row>
    <row r="57" spans="1:3" x14ac:dyDescent="0.55000000000000004">
      <c r="A57" s="68">
        <v>766</v>
      </c>
      <c r="C57" s="68">
        <v>19.829999999999998</v>
      </c>
    </row>
    <row r="58" spans="1:3" x14ac:dyDescent="0.55000000000000004">
      <c r="A58" s="68">
        <v>766</v>
      </c>
      <c r="C58" s="68">
        <v>16.03</v>
      </c>
    </row>
    <row r="59" spans="1:3" x14ac:dyDescent="0.55000000000000004">
      <c r="A59" s="68">
        <v>766</v>
      </c>
      <c r="C59" s="68">
        <v>16.03</v>
      </c>
    </row>
    <row r="60" spans="1:3" x14ac:dyDescent="0.55000000000000004">
      <c r="A60" s="68">
        <v>766</v>
      </c>
      <c r="C60" s="68">
        <v>18.420000000000002</v>
      </c>
    </row>
    <row r="61" spans="1:3" x14ac:dyDescent="0.55000000000000004">
      <c r="A61" s="68">
        <v>657</v>
      </c>
      <c r="C61" s="68">
        <v>19.5</v>
      </c>
    </row>
    <row r="62" spans="1:3" x14ac:dyDescent="0.55000000000000004">
      <c r="A62" s="68">
        <v>657</v>
      </c>
      <c r="C62" s="68">
        <v>17.5</v>
      </c>
    </row>
    <row r="63" spans="1:3" x14ac:dyDescent="0.55000000000000004">
      <c r="A63" s="68">
        <v>657</v>
      </c>
      <c r="C63" s="68">
        <v>17</v>
      </c>
    </row>
    <row r="64" spans="1:3" x14ac:dyDescent="0.55000000000000004">
      <c r="A64" s="68">
        <v>912</v>
      </c>
      <c r="C64" s="68">
        <v>16.79</v>
      </c>
    </row>
    <row r="65" spans="1:3" x14ac:dyDescent="0.55000000000000004">
      <c r="A65" s="68">
        <v>912</v>
      </c>
      <c r="C65" s="68">
        <v>16</v>
      </c>
    </row>
    <row r="66" spans="1:3" x14ac:dyDescent="0.55000000000000004">
      <c r="A66" s="68">
        <v>912</v>
      </c>
      <c r="C66" s="68">
        <v>21.57</v>
      </c>
    </row>
    <row r="67" spans="1:3" x14ac:dyDescent="0.55000000000000004">
      <c r="A67" s="68">
        <v>916</v>
      </c>
      <c r="C67" s="68">
        <v>25.96</v>
      </c>
    </row>
    <row r="68" spans="1:3" x14ac:dyDescent="0.55000000000000004">
      <c r="A68" s="68">
        <v>916</v>
      </c>
      <c r="C68" s="68">
        <v>20.3</v>
      </c>
    </row>
    <row r="69" spans="1:3" x14ac:dyDescent="0.55000000000000004">
      <c r="A69" s="68">
        <v>916</v>
      </c>
      <c r="C69" s="68">
        <v>19.77</v>
      </c>
    </row>
    <row r="70" spans="1:3" x14ac:dyDescent="0.55000000000000004">
      <c r="A70" s="68">
        <v>916</v>
      </c>
      <c r="C70" s="68">
        <v>17.829999999999998</v>
      </c>
    </row>
    <row r="71" spans="1:3" x14ac:dyDescent="0.55000000000000004">
      <c r="A71" s="68">
        <v>916</v>
      </c>
      <c r="C71" s="68">
        <v>17.11</v>
      </c>
    </row>
    <row r="72" spans="1:3" x14ac:dyDescent="0.55000000000000004">
      <c r="A72" s="68">
        <v>916</v>
      </c>
      <c r="C72" s="68">
        <v>16.41</v>
      </c>
    </row>
    <row r="73" spans="1:3" x14ac:dyDescent="0.55000000000000004">
      <c r="A73" s="68">
        <v>624</v>
      </c>
      <c r="C73" s="68">
        <v>15</v>
      </c>
    </row>
    <row r="74" spans="1:3" x14ac:dyDescent="0.55000000000000004">
      <c r="A74" s="68">
        <v>624</v>
      </c>
      <c r="C74" s="68">
        <v>15.35</v>
      </c>
    </row>
    <row r="75" spans="1:3" x14ac:dyDescent="0.55000000000000004">
      <c r="A75" s="68">
        <v>624</v>
      </c>
      <c r="C75" s="68">
        <v>17</v>
      </c>
    </row>
    <row r="76" spans="1:3" x14ac:dyDescent="0.55000000000000004">
      <c r="A76" s="68">
        <v>624</v>
      </c>
      <c r="C76" s="68">
        <v>17.25</v>
      </c>
    </row>
    <row r="77" spans="1:3" x14ac:dyDescent="0.55000000000000004">
      <c r="A77" s="68">
        <v>624</v>
      </c>
      <c r="C77" s="68">
        <v>20.88</v>
      </c>
    </row>
    <row r="78" spans="1:3" x14ac:dyDescent="0.55000000000000004">
      <c r="A78" s="68">
        <v>542</v>
      </c>
      <c r="C78" s="68">
        <v>19.5</v>
      </c>
    </row>
    <row r="79" spans="1:3" x14ac:dyDescent="0.55000000000000004">
      <c r="A79" s="68">
        <v>572</v>
      </c>
      <c r="C79" s="68">
        <v>16.05</v>
      </c>
    </row>
    <row r="80" spans="1:3" x14ac:dyDescent="0.55000000000000004">
      <c r="A80" s="68">
        <v>572</v>
      </c>
      <c r="C80" s="68">
        <v>16.05</v>
      </c>
    </row>
    <row r="81" spans="1:3" x14ac:dyDescent="0.55000000000000004">
      <c r="A81" s="68">
        <v>572</v>
      </c>
      <c r="C81" s="68">
        <v>16.05</v>
      </c>
    </row>
    <row r="82" spans="1:3" x14ac:dyDescent="0.55000000000000004">
      <c r="A82" s="68">
        <v>346</v>
      </c>
      <c r="C82" s="68">
        <v>18.5</v>
      </c>
    </row>
    <row r="83" spans="1:3" x14ac:dyDescent="0.55000000000000004">
      <c r="A83" s="68">
        <v>738</v>
      </c>
      <c r="C83" s="68">
        <v>13</v>
      </c>
    </row>
    <row r="84" spans="1:3" x14ac:dyDescent="0.55000000000000004">
      <c r="A84" s="68">
        <v>205</v>
      </c>
      <c r="C84" s="68">
        <v>11.25</v>
      </c>
    </row>
    <row r="85" spans="1:3" x14ac:dyDescent="0.55000000000000004">
      <c r="A85" s="68">
        <v>205</v>
      </c>
      <c r="C85" s="68">
        <v>11.5</v>
      </c>
    </row>
    <row r="86" spans="1:3" x14ac:dyDescent="0.55000000000000004">
      <c r="A86" s="68">
        <v>205</v>
      </c>
      <c r="C86" s="68">
        <v>12</v>
      </c>
    </row>
    <row r="87" spans="1:3" x14ac:dyDescent="0.55000000000000004">
      <c r="A87" s="68">
        <v>205</v>
      </c>
      <c r="C87" s="68">
        <v>11.25</v>
      </c>
    </row>
    <row r="88" spans="1:3" x14ac:dyDescent="0.55000000000000004">
      <c r="A88" s="68">
        <v>205</v>
      </c>
      <c r="C88" s="68">
        <v>11.75</v>
      </c>
    </row>
    <row r="89" spans="1:3" x14ac:dyDescent="0.55000000000000004">
      <c r="A89" s="68">
        <v>205</v>
      </c>
      <c r="C89" s="68">
        <v>12.25</v>
      </c>
    </row>
    <row r="90" spans="1:3" x14ac:dyDescent="0.55000000000000004">
      <c r="A90" s="68">
        <v>205</v>
      </c>
      <c r="C90" s="68">
        <v>18.5</v>
      </c>
    </row>
    <row r="91" spans="1:3" x14ac:dyDescent="0.55000000000000004">
      <c r="A91" s="68">
        <v>206</v>
      </c>
      <c r="C91" s="68">
        <v>18</v>
      </c>
    </row>
    <row r="92" spans="1:3" x14ac:dyDescent="0.55000000000000004">
      <c r="A92" s="68">
        <v>206</v>
      </c>
      <c r="C92" s="68">
        <v>17.52</v>
      </c>
    </row>
    <row r="93" spans="1:3" x14ac:dyDescent="0.55000000000000004">
      <c r="A93" s="68">
        <v>206</v>
      </c>
      <c r="C93" s="68">
        <v>16.86</v>
      </c>
    </row>
    <row r="94" spans="1:3" x14ac:dyDescent="0.55000000000000004">
      <c r="A94" s="68">
        <v>206</v>
      </c>
      <c r="C94" s="68">
        <v>25</v>
      </c>
    </row>
    <row r="95" spans="1:3" x14ac:dyDescent="0.55000000000000004">
      <c r="A95" s="68">
        <v>206</v>
      </c>
      <c r="C95" s="68">
        <v>17.57</v>
      </c>
    </row>
    <row r="96" spans="1:3" x14ac:dyDescent="0.55000000000000004">
      <c r="A96" s="68">
        <v>206</v>
      </c>
      <c r="C96" s="68">
        <v>15.15</v>
      </c>
    </row>
    <row r="97" spans="1:3" x14ac:dyDescent="0.55000000000000004">
      <c r="A97" s="68">
        <v>206</v>
      </c>
      <c r="C97" s="68">
        <v>14.4</v>
      </c>
    </row>
    <row r="98" spans="1:3" x14ac:dyDescent="0.55000000000000004">
      <c r="A98" s="68">
        <v>423</v>
      </c>
      <c r="C98" s="68">
        <v>14</v>
      </c>
    </row>
    <row r="99" spans="1:3" x14ac:dyDescent="0.55000000000000004">
      <c r="A99" s="68">
        <v>423</v>
      </c>
      <c r="C99" s="68">
        <v>15</v>
      </c>
    </row>
    <row r="100" spans="1:3" x14ac:dyDescent="0.55000000000000004">
      <c r="A100" s="68">
        <v>423</v>
      </c>
      <c r="C100" s="68">
        <v>14</v>
      </c>
    </row>
    <row r="101" spans="1:3" x14ac:dyDescent="0.55000000000000004">
      <c r="A101" s="68">
        <v>316</v>
      </c>
      <c r="C101" s="68">
        <v>16.64</v>
      </c>
    </row>
    <row r="102" spans="1:3" x14ac:dyDescent="0.55000000000000004">
      <c r="A102" s="68">
        <v>316</v>
      </c>
      <c r="C102" s="68">
        <v>18</v>
      </c>
    </row>
    <row r="103" spans="1:3" x14ac:dyDescent="0.55000000000000004">
      <c r="A103" s="68">
        <v>380</v>
      </c>
      <c r="C103" s="68">
        <v>24.6</v>
      </c>
    </row>
    <row r="104" spans="1:3" x14ac:dyDescent="0.55000000000000004">
      <c r="A104" s="68">
        <v>380</v>
      </c>
      <c r="C104" s="68">
        <v>24.33</v>
      </c>
    </row>
    <row r="105" spans="1:3" x14ac:dyDescent="0.55000000000000004">
      <c r="A105" s="68">
        <v>380</v>
      </c>
      <c r="C105" s="68">
        <v>25.58</v>
      </c>
    </row>
    <row r="106" spans="1:3" x14ac:dyDescent="0.55000000000000004">
      <c r="A106" s="68">
        <v>380</v>
      </c>
      <c r="C106" s="68">
        <v>20.99</v>
      </c>
    </row>
    <row r="107" spans="1:3" x14ac:dyDescent="0.55000000000000004">
      <c r="A107" s="68">
        <v>380</v>
      </c>
      <c r="C107" s="68">
        <v>20.99</v>
      </c>
    </row>
    <row r="108" spans="1:3" x14ac:dyDescent="0.55000000000000004">
      <c r="A108" s="68">
        <v>861</v>
      </c>
      <c r="C108" s="68">
        <v>18.079999999999998</v>
      </c>
    </row>
    <row r="109" spans="1:3" x14ac:dyDescent="0.55000000000000004">
      <c r="A109" s="68">
        <v>861</v>
      </c>
      <c r="C109" s="68">
        <v>20</v>
      </c>
    </row>
    <row r="110" spans="1:3" x14ac:dyDescent="0.55000000000000004">
      <c r="A110" s="68">
        <v>861</v>
      </c>
      <c r="C110" s="68">
        <v>21</v>
      </c>
    </row>
    <row r="111" spans="1:3" x14ac:dyDescent="0.55000000000000004">
      <c r="A111" s="68">
        <v>145</v>
      </c>
      <c r="C111" s="68">
        <v>24</v>
      </c>
    </row>
    <row r="112" spans="1:3" x14ac:dyDescent="0.55000000000000004">
      <c r="A112" s="68">
        <v>145</v>
      </c>
      <c r="C112" s="68">
        <v>25</v>
      </c>
    </row>
    <row r="113" spans="1:3" x14ac:dyDescent="0.55000000000000004">
      <c r="A113" s="68">
        <v>479</v>
      </c>
      <c r="C113" s="68">
        <v>15</v>
      </c>
    </row>
    <row r="114" spans="1:3" x14ac:dyDescent="0.55000000000000004">
      <c r="A114" s="68">
        <v>479</v>
      </c>
      <c r="C114" s="68">
        <v>15.5</v>
      </c>
    </row>
    <row r="115" spans="1:3" x14ac:dyDescent="0.55000000000000004">
      <c r="A115" s="68">
        <v>479</v>
      </c>
      <c r="C115" s="68">
        <v>16.34</v>
      </c>
    </row>
    <row r="116" spans="1:3" x14ac:dyDescent="0.55000000000000004">
      <c r="A116" s="68">
        <v>479</v>
      </c>
      <c r="C116" s="68">
        <v>15.41</v>
      </c>
    </row>
    <row r="117" spans="1:3" x14ac:dyDescent="0.55000000000000004">
      <c r="A117" s="68">
        <v>479</v>
      </c>
      <c r="C117" s="68">
        <v>15.5</v>
      </c>
    </row>
    <row r="118" spans="1:3" x14ac:dyDescent="0.55000000000000004">
      <c r="A118" s="68">
        <v>234</v>
      </c>
      <c r="C118" s="68">
        <v>17.5</v>
      </c>
    </row>
    <row r="119" spans="1:3" x14ac:dyDescent="0.55000000000000004">
      <c r="A119" s="68">
        <v>560</v>
      </c>
      <c r="C119" s="68">
        <v>19.5</v>
      </c>
    </row>
    <row r="120" spans="1:3" x14ac:dyDescent="0.55000000000000004">
      <c r="A120" s="68">
        <v>560</v>
      </c>
      <c r="C120" s="68">
        <v>22.145</v>
      </c>
    </row>
    <row r="121" spans="1:3" x14ac:dyDescent="0.55000000000000004">
      <c r="A121" s="68">
        <v>560</v>
      </c>
      <c r="C121" s="68">
        <v>16.54</v>
      </c>
    </row>
    <row r="122" spans="1:3" x14ac:dyDescent="0.55000000000000004">
      <c r="A122" s="68">
        <v>560</v>
      </c>
      <c r="C122" s="68">
        <v>19.3795</v>
      </c>
    </row>
    <row r="123" spans="1:3" x14ac:dyDescent="0.55000000000000004">
      <c r="A123" s="68">
        <v>584</v>
      </c>
      <c r="C123" s="68">
        <v>16.25</v>
      </c>
    </row>
    <row r="124" spans="1:3" x14ac:dyDescent="0.55000000000000004">
      <c r="A124" s="68">
        <v>584</v>
      </c>
      <c r="C124" s="68">
        <v>16</v>
      </c>
    </row>
    <row r="125" spans="1:3" x14ac:dyDescent="0.55000000000000004">
      <c r="A125" s="68">
        <v>622</v>
      </c>
      <c r="C125" s="68">
        <v>20</v>
      </c>
    </row>
    <row r="126" spans="1:3" x14ac:dyDescent="0.55000000000000004">
      <c r="A126" s="68">
        <v>622</v>
      </c>
      <c r="C126" s="68">
        <v>20</v>
      </c>
    </row>
    <row r="127" spans="1:3" x14ac:dyDescent="0.55000000000000004">
      <c r="A127" s="68">
        <v>622</v>
      </c>
      <c r="C127" s="68">
        <v>21.22</v>
      </c>
    </row>
    <row r="128" spans="1:3" x14ac:dyDescent="0.55000000000000004">
      <c r="A128" s="68">
        <v>622</v>
      </c>
      <c r="C128" s="68">
        <v>21</v>
      </c>
    </row>
    <row r="129" spans="1:3" x14ac:dyDescent="0.55000000000000004">
      <c r="A129" s="68">
        <v>622</v>
      </c>
      <c r="C129" s="68">
        <v>22</v>
      </c>
    </row>
    <row r="130" spans="1:3" x14ac:dyDescent="0.55000000000000004">
      <c r="A130" s="68">
        <v>622</v>
      </c>
      <c r="C130" s="68">
        <v>20</v>
      </c>
    </row>
    <row r="131" spans="1:3" x14ac:dyDescent="0.55000000000000004">
      <c r="A131" s="68">
        <v>622</v>
      </c>
      <c r="C131" s="68">
        <v>20.39</v>
      </c>
    </row>
    <row r="132" spans="1:3" x14ac:dyDescent="0.55000000000000004">
      <c r="A132" s="68">
        <v>622</v>
      </c>
      <c r="C132" s="68">
        <v>22</v>
      </c>
    </row>
    <row r="133" spans="1:3" x14ac:dyDescent="0.55000000000000004">
      <c r="A133" s="68">
        <v>218</v>
      </c>
      <c r="C133" s="68">
        <v>20</v>
      </c>
    </row>
    <row r="134" spans="1:3" x14ac:dyDescent="0.55000000000000004">
      <c r="A134" s="68">
        <v>218</v>
      </c>
      <c r="C134" s="68">
        <v>26</v>
      </c>
    </row>
    <row r="135" spans="1:3" x14ac:dyDescent="0.55000000000000004">
      <c r="A135" s="68">
        <v>218</v>
      </c>
      <c r="C135" s="68">
        <v>23</v>
      </c>
    </row>
    <row r="136" spans="1:3" x14ac:dyDescent="0.55000000000000004">
      <c r="A136" s="68">
        <v>218</v>
      </c>
      <c r="C136" s="68">
        <v>20</v>
      </c>
    </row>
    <row r="137" spans="1:3" x14ac:dyDescent="0.55000000000000004">
      <c r="A137" s="68">
        <v>218</v>
      </c>
      <c r="C137" s="68">
        <v>18</v>
      </c>
    </row>
    <row r="138" spans="1:3" x14ac:dyDescent="0.55000000000000004">
      <c r="A138" s="68">
        <v>486</v>
      </c>
      <c r="C138" s="68">
        <v>21.39</v>
      </c>
    </row>
    <row r="139" spans="1:3" x14ac:dyDescent="0.55000000000000004">
      <c r="A139" s="68">
        <v>486</v>
      </c>
      <c r="C139" s="68">
        <v>17.5</v>
      </c>
    </row>
    <row r="140" spans="1:3" x14ac:dyDescent="0.55000000000000004">
      <c r="A140" s="68">
        <v>313</v>
      </c>
      <c r="C140" s="68">
        <v>16.960100000000001</v>
      </c>
    </row>
    <row r="141" spans="1:3" x14ac:dyDescent="0.55000000000000004">
      <c r="A141" s="68">
        <v>313</v>
      </c>
      <c r="C141" s="68">
        <v>15.06</v>
      </c>
    </row>
    <row r="142" spans="1:3" x14ac:dyDescent="0.55000000000000004">
      <c r="A142" s="68">
        <v>828</v>
      </c>
      <c r="C142" s="68">
        <v>14.28</v>
      </c>
    </row>
    <row r="143" spans="1:3" x14ac:dyDescent="0.55000000000000004">
      <c r="A143" s="68">
        <v>828</v>
      </c>
      <c r="C143" s="68">
        <v>15.45</v>
      </c>
    </row>
    <row r="144" spans="1:3" x14ac:dyDescent="0.55000000000000004">
      <c r="A144" s="68">
        <v>828</v>
      </c>
      <c r="C144" s="68">
        <v>14.28</v>
      </c>
    </row>
    <row r="145" spans="1:3" x14ac:dyDescent="0.55000000000000004">
      <c r="A145" s="68">
        <v>828</v>
      </c>
      <c r="C145" s="68">
        <v>16.07</v>
      </c>
    </row>
    <row r="146" spans="1:3" x14ac:dyDescent="0.55000000000000004">
      <c r="A146" s="68">
        <v>726</v>
      </c>
      <c r="C146" s="68">
        <v>17.77</v>
      </c>
    </row>
    <row r="147" spans="1:3" x14ac:dyDescent="0.55000000000000004">
      <c r="A147" s="68">
        <v>726</v>
      </c>
      <c r="C147" s="68">
        <v>15.57</v>
      </c>
    </row>
    <row r="148" spans="1:3" x14ac:dyDescent="0.55000000000000004">
      <c r="A148" s="68">
        <v>178</v>
      </c>
      <c r="C148" s="68">
        <v>16.2</v>
      </c>
    </row>
    <row r="149" spans="1:3" x14ac:dyDescent="0.55000000000000004">
      <c r="A149" s="68">
        <v>178</v>
      </c>
      <c r="C149" s="68">
        <v>18.52</v>
      </c>
    </row>
    <row r="150" spans="1:3" x14ac:dyDescent="0.55000000000000004">
      <c r="A150" s="68">
        <v>178</v>
      </c>
      <c r="C150" s="68">
        <v>16.2</v>
      </c>
    </row>
    <row r="151" spans="1:3" x14ac:dyDescent="0.55000000000000004">
      <c r="A151" s="68">
        <v>178</v>
      </c>
      <c r="C151" s="68">
        <v>18.82</v>
      </c>
    </row>
    <row r="152" spans="1:3" x14ac:dyDescent="0.55000000000000004">
      <c r="A152" s="68">
        <v>178</v>
      </c>
      <c r="C152" s="68">
        <v>16.829999999999998</v>
      </c>
    </row>
    <row r="153" spans="1:3" x14ac:dyDescent="0.55000000000000004">
      <c r="A153" s="68">
        <v>178</v>
      </c>
      <c r="C153" s="68">
        <v>17.13</v>
      </c>
    </row>
    <row r="154" spans="1:3" x14ac:dyDescent="0.55000000000000004">
      <c r="A154" s="68">
        <v>543</v>
      </c>
      <c r="C154" s="68">
        <v>13.8</v>
      </c>
    </row>
    <row r="155" spans="1:3" x14ac:dyDescent="0.55000000000000004">
      <c r="A155" s="68">
        <v>293</v>
      </c>
      <c r="C155" s="68">
        <v>13.66</v>
      </c>
    </row>
    <row r="156" spans="1:3" x14ac:dyDescent="0.55000000000000004">
      <c r="A156" s="68">
        <v>293</v>
      </c>
      <c r="C156" s="68">
        <v>13.66</v>
      </c>
    </row>
    <row r="157" spans="1:3" x14ac:dyDescent="0.55000000000000004">
      <c r="A157" s="68">
        <v>293</v>
      </c>
      <c r="C157" s="68">
        <v>13.66</v>
      </c>
    </row>
    <row r="158" spans="1:3" x14ac:dyDescent="0.55000000000000004">
      <c r="A158" s="68">
        <v>293</v>
      </c>
      <c r="C158" s="68">
        <v>13.66</v>
      </c>
    </row>
    <row r="159" spans="1:3" x14ac:dyDescent="0.55000000000000004">
      <c r="A159" s="68">
        <v>293</v>
      </c>
      <c r="C159" s="68">
        <v>13.66</v>
      </c>
    </row>
    <row r="160" spans="1:3" x14ac:dyDescent="0.55000000000000004">
      <c r="A160" s="68">
        <v>293</v>
      </c>
      <c r="C160" s="68">
        <v>13.66</v>
      </c>
    </row>
    <row r="161" spans="1:3" x14ac:dyDescent="0.55000000000000004">
      <c r="A161" s="68">
        <v>293</v>
      </c>
      <c r="C161" s="68">
        <v>13.66</v>
      </c>
    </row>
    <row r="162" spans="1:3" x14ac:dyDescent="0.55000000000000004">
      <c r="A162" s="68">
        <v>293</v>
      </c>
      <c r="C162" s="68">
        <v>13.66</v>
      </c>
    </row>
    <row r="163" spans="1:3" x14ac:dyDescent="0.55000000000000004">
      <c r="A163" s="68">
        <v>293</v>
      </c>
      <c r="C163" s="68">
        <v>13.66</v>
      </c>
    </row>
    <row r="164" spans="1:3" x14ac:dyDescent="0.55000000000000004">
      <c r="A164" s="68">
        <v>293</v>
      </c>
      <c r="C164" s="68">
        <v>13.66</v>
      </c>
    </row>
    <row r="165" spans="1:3" x14ac:dyDescent="0.55000000000000004">
      <c r="A165" s="68">
        <v>293</v>
      </c>
      <c r="C165" s="68">
        <v>13.66</v>
      </c>
    </row>
    <row r="166" spans="1:3" x14ac:dyDescent="0.55000000000000004">
      <c r="A166" s="68">
        <v>293</v>
      </c>
      <c r="C166" s="68">
        <v>13.66</v>
      </c>
    </row>
    <row r="167" spans="1:3" x14ac:dyDescent="0.55000000000000004">
      <c r="A167" s="68">
        <v>293</v>
      </c>
      <c r="C167" s="68">
        <v>13.66</v>
      </c>
    </row>
    <row r="168" spans="1:3" x14ac:dyDescent="0.55000000000000004">
      <c r="A168" s="68">
        <v>293</v>
      </c>
      <c r="C168" s="68">
        <v>13.66</v>
      </c>
    </row>
    <row r="169" spans="1:3" x14ac:dyDescent="0.55000000000000004">
      <c r="A169" s="68">
        <v>293</v>
      </c>
      <c r="C169" s="68">
        <v>13.66</v>
      </c>
    </row>
    <row r="170" spans="1:3" x14ac:dyDescent="0.55000000000000004">
      <c r="A170" s="68">
        <v>293</v>
      </c>
      <c r="C170" s="68">
        <v>13.66</v>
      </c>
    </row>
    <row r="171" spans="1:3" x14ac:dyDescent="0.55000000000000004">
      <c r="A171" s="68">
        <v>293</v>
      </c>
      <c r="C171" s="68">
        <v>13.66</v>
      </c>
    </row>
    <row r="172" spans="1:3" x14ac:dyDescent="0.55000000000000004">
      <c r="A172" s="68">
        <v>293</v>
      </c>
      <c r="C172" s="68">
        <v>13.66</v>
      </c>
    </row>
    <row r="173" spans="1:3" x14ac:dyDescent="0.55000000000000004">
      <c r="A173" s="68">
        <v>293</v>
      </c>
      <c r="C173" s="68">
        <v>13.93</v>
      </c>
    </row>
    <row r="174" spans="1:3" x14ac:dyDescent="0.55000000000000004">
      <c r="A174" s="68">
        <v>293</v>
      </c>
      <c r="C174" s="68">
        <v>13.93</v>
      </c>
    </row>
    <row r="175" spans="1:3" x14ac:dyDescent="0.55000000000000004">
      <c r="A175" s="68">
        <v>293</v>
      </c>
      <c r="C175" s="68">
        <v>13.93</v>
      </c>
    </row>
    <row r="176" spans="1:3" x14ac:dyDescent="0.55000000000000004">
      <c r="A176" s="68">
        <v>293</v>
      </c>
      <c r="C176" s="68">
        <v>14.21</v>
      </c>
    </row>
    <row r="177" spans="1:3" x14ac:dyDescent="0.55000000000000004">
      <c r="A177" s="68">
        <v>293</v>
      </c>
      <c r="C177" s="68">
        <v>14.21</v>
      </c>
    </row>
    <row r="178" spans="1:3" x14ac:dyDescent="0.55000000000000004">
      <c r="A178" s="68">
        <v>293</v>
      </c>
      <c r="C178" s="68">
        <v>14.21</v>
      </c>
    </row>
    <row r="179" spans="1:3" x14ac:dyDescent="0.55000000000000004">
      <c r="A179" s="68">
        <v>293</v>
      </c>
      <c r="C179" s="68">
        <v>14.21</v>
      </c>
    </row>
    <row r="180" spans="1:3" x14ac:dyDescent="0.55000000000000004">
      <c r="A180" s="68">
        <v>293</v>
      </c>
      <c r="C180" s="68">
        <v>14.21</v>
      </c>
    </row>
    <row r="181" spans="1:3" x14ac:dyDescent="0.55000000000000004">
      <c r="A181" s="68">
        <v>293</v>
      </c>
      <c r="C181" s="68">
        <v>14.49</v>
      </c>
    </row>
    <row r="182" spans="1:3" x14ac:dyDescent="0.55000000000000004">
      <c r="A182" s="68">
        <v>293</v>
      </c>
      <c r="C182" s="68">
        <v>14.49</v>
      </c>
    </row>
    <row r="183" spans="1:3" x14ac:dyDescent="0.55000000000000004">
      <c r="A183" s="68">
        <v>293</v>
      </c>
      <c r="C183" s="68">
        <v>14.78</v>
      </c>
    </row>
    <row r="184" spans="1:3" x14ac:dyDescent="0.55000000000000004">
      <c r="A184" s="68">
        <v>293</v>
      </c>
      <c r="C184" s="68">
        <v>15.08</v>
      </c>
    </row>
    <row r="185" spans="1:3" x14ac:dyDescent="0.55000000000000004">
      <c r="A185" s="68">
        <v>293</v>
      </c>
      <c r="C185" s="68">
        <v>15.08</v>
      </c>
    </row>
    <row r="186" spans="1:3" x14ac:dyDescent="0.55000000000000004">
      <c r="A186" s="68">
        <v>293</v>
      </c>
      <c r="C186" s="68">
        <v>15.08</v>
      </c>
    </row>
    <row r="187" spans="1:3" x14ac:dyDescent="0.55000000000000004">
      <c r="A187" s="68">
        <v>293</v>
      </c>
      <c r="C187" s="68">
        <v>15.38</v>
      </c>
    </row>
    <row r="188" spans="1:3" x14ac:dyDescent="0.55000000000000004">
      <c r="A188" s="68">
        <v>293</v>
      </c>
      <c r="C188" s="68">
        <v>15.38</v>
      </c>
    </row>
    <row r="189" spans="1:3" x14ac:dyDescent="0.55000000000000004">
      <c r="A189" s="68">
        <v>293</v>
      </c>
      <c r="C189" s="68">
        <v>15.38</v>
      </c>
    </row>
    <row r="190" spans="1:3" x14ac:dyDescent="0.55000000000000004">
      <c r="A190" s="68">
        <v>293</v>
      </c>
      <c r="C190" s="68">
        <v>15.93</v>
      </c>
    </row>
    <row r="191" spans="1:3" x14ac:dyDescent="0.55000000000000004">
      <c r="A191" s="68">
        <v>293</v>
      </c>
      <c r="C191" s="68">
        <v>16.32</v>
      </c>
    </row>
    <row r="192" spans="1:3" x14ac:dyDescent="0.55000000000000004">
      <c r="A192" s="68">
        <v>293</v>
      </c>
      <c r="C192" s="68">
        <v>16.98</v>
      </c>
    </row>
    <row r="193" spans="1:3" x14ac:dyDescent="0.55000000000000004">
      <c r="A193" s="68">
        <v>293</v>
      </c>
      <c r="C193" s="68">
        <v>17.32</v>
      </c>
    </row>
    <row r="194" spans="1:3" x14ac:dyDescent="0.55000000000000004">
      <c r="A194" s="68">
        <v>597</v>
      </c>
      <c r="C194" s="68">
        <v>14.5</v>
      </c>
    </row>
    <row r="195" spans="1:3" x14ac:dyDescent="0.55000000000000004">
      <c r="A195" s="68">
        <v>740</v>
      </c>
      <c r="C195" s="68">
        <v>16.28</v>
      </c>
    </row>
    <row r="196" spans="1:3" x14ac:dyDescent="0.55000000000000004">
      <c r="A196" s="68">
        <v>740</v>
      </c>
      <c r="C196" s="68">
        <v>11.21</v>
      </c>
    </row>
    <row r="197" spans="1:3" x14ac:dyDescent="0.55000000000000004">
      <c r="A197" s="68">
        <v>740</v>
      </c>
      <c r="C197" s="68">
        <v>11.21</v>
      </c>
    </row>
    <row r="198" spans="1:3" x14ac:dyDescent="0.55000000000000004">
      <c r="A198" s="68">
        <v>740</v>
      </c>
      <c r="C198" s="68">
        <v>11.21</v>
      </c>
    </row>
    <row r="199" spans="1:3" x14ac:dyDescent="0.55000000000000004">
      <c r="A199" s="68">
        <v>740</v>
      </c>
      <c r="C199" s="68">
        <v>13.8</v>
      </c>
    </row>
    <row r="200" spans="1:3" x14ac:dyDescent="0.55000000000000004">
      <c r="A200" s="68">
        <v>740</v>
      </c>
      <c r="C200" s="68">
        <v>13</v>
      </c>
    </row>
    <row r="201" spans="1:3" x14ac:dyDescent="0.55000000000000004">
      <c r="A201" s="68">
        <v>740</v>
      </c>
      <c r="C201" s="68">
        <v>12</v>
      </c>
    </row>
    <row r="202" spans="1:3" x14ac:dyDescent="0.55000000000000004">
      <c r="A202" s="68">
        <v>740</v>
      </c>
      <c r="C202" s="68">
        <v>16.28</v>
      </c>
    </row>
    <row r="203" spans="1:3" x14ac:dyDescent="0.55000000000000004">
      <c r="A203" s="68">
        <v>740</v>
      </c>
      <c r="C203" s="68">
        <v>12</v>
      </c>
    </row>
    <row r="204" spans="1:3" x14ac:dyDescent="0.55000000000000004">
      <c r="A204" s="68">
        <v>826</v>
      </c>
      <c r="C204" s="68">
        <v>14</v>
      </c>
    </row>
    <row r="205" spans="1:3" x14ac:dyDescent="0.55000000000000004">
      <c r="A205" s="68">
        <v>826</v>
      </c>
      <c r="C205" s="68">
        <v>14.3</v>
      </c>
    </row>
    <row r="206" spans="1:3" x14ac:dyDescent="0.55000000000000004">
      <c r="A206" s="68">
        <v>826</v>
      </c>
      <c r="C206" s="68">
        <v>14.3</v>
      </c>
    </row>
    <row r="207" spans="1:3" x14ac:dyDescent="0.55000000000000004">
      <c r="A207" s="68">
        <v>826</v>
      </c>
      <c r="C207" s="68">
        <v>14.9</v>
      </c>
    </row>
    <row r="208" spans="1:3" x14ac:dyDescent="0.55000000000000004">
      <c r="A208" s="68">
        <v>826</v>
      </c>
      <c r="C208" s="68">
        <v>15</v>
      </c>
    </row>
    <row r="209" spans="1:3" x14ac:dyDescent="0.55000000000000004">
      <c r="A209" s="68">
        <v>174</v>
      </c>
      <c r="C209" s="68">
        <v>16.12</v>
      </c>
    </row>
    <row r="210" spans="1:3" x14ac:dyDescent="0.55000000000000004">
      <c r="A210" s="68">
        <v>174</v>
      </c>
      <c r="C210" s="68">
        <v>19.229599999999998</v>
      </c>
    </row>
    <row r="211" spans="1:3" x14ac:dyDescent="0.55000000000000004">
      <c r="A211" s="68">
        <v>174</v>
      </c>
      <c r="C211" s="68">
        <v>21.153600000000001</v>
      </c>
    </row>
    <row r="212" spans="1:3" x14ac:dyDescent="0.55000000000000004">
      <c r="A212" s="68">
        <v>174</v>
      </c>
      <c r="C212" s="68">
        <v>18.532800000000002</v>
      </c>
    </row>
    <row r="213" spans="1:3" x14ac:dyDescent="0.55000000000000004">
      <c r="A213" s="68">
        <v>901</v>
      </c>
      <c r="C213" s="68">
        <v>16.25</v>
      </c>
    </row>
    <row r="214" spans="1:3" x14ac:dyDescent="0.55000000000000004">
      <c r="A214" s="68">
        <v>277</v>
      </c>
      <c r="C214" s="68">
        <v>24.58</v>
      </c>
    </row>
    <row r="215" spans="1:3" x14ac:dyDescent="0.55000000000000004">
      <c r="A215" s="68">
        <v>959</v>
      </c>
      <c r="C215" s="68">
        <v>19.63</v>
      </c>
    </row>
    <row r="216" spans="1:3" x14ac:dyDescent="0.55000000000000004">
      <c r="A216" s="68">
        <v>959</v>
      </c>
      <c r="C216" s="68">
        <v>19.63</v>
      </c>
    </row>
    <row r="217" spans="1:3" x14ac:dyDescent="0.55000000000000004">
      <c r="A217" s="68">
        <v>959</v>
      </c>
      <c r="C217" s="68">
        <v>20</v>
      </c>
    </row>
    <row r="218" spans="1:3" x14ac:dyDescent="0.55000000000000004">
      <c r="A218" s="68">
        <v>555</v>
      </c>
      <c r="C218" s="68">
        <v>22.25</v>
      </c>
    </row>
    <row r="219" spans="1:3" x14ac:dyDescent="0.55000000000000004">
      <c r="A219" s="68">
        <v>555</v>
      </c>
      <c r="C219" s="68">
        <v>21.68</v>
      </c>
    </row>
    <row r="220" spans="1:3" x14ac:dyDescent="0.55000000000000004">
      <c r="A220" s="68">
        <v>351</v>
      </c>
      <c r="C220" s="68">
        <v>18.11</v>
      </c>
    </row>
    <row r="221" spans="1:3" x14ac:dyDescent="0.55000000000000004">
      <c r="A221" s="68">
        <v>351</v>
      </c>
      <c r="C221" s="68">
        <v>17.760000000000002</v>
      </c>
    </row>
    <row r="222" spans="1:3" x14ac:dyDescent="0.55000000000000004">
      <c r="A222" s="68">
        <v>351</v>
      </c>
      <c r="C222" s="68">
        <v>16.89</v>
      </c>
    </row>
    <row r="223" spans="1:3" x14ac:dyDescent="0.55000000000000004">
      <c r="A223" s="68">
        <v>351</v>
      </c>
      <c r="C223" s="68">
        <v>15.31</v>
      </c>
    </row>
    <row r="224" spans="1:3" x14ac:dyDescent="0.55000000000000004">
      <c r="A224" s="68">
        <v>351</v>
      </c>
      <c r="C224" s="68">
        <v>14.71</v>
      </c>
    </row>
    <row r="225" spans="1:3" x14ac:dyDescent="0.55000000000000004">
      <c r="A225" s="68">
        <v>351</v>
      </c>
      <c r="C225" s="68">
        <v>14.42</v>
      </c>
    </row>
    <row r="226" spans="1:3" x14ac:dyDescent="0.55000000000000004">
      <c r="A226" s="68">
        <v>459</v>
      </c>
      <c r="C226" s="68">
        <v>16.27</v>
      </c>
    </row>
    <row r="227" spans="1:3" x14ac:dyDescent="0.55000000000000004">
      <c r="A227" s="68">
        <v>459</v>
      </c>
      <c r="C227" s="68">
        <v>16.27</v>
      </c>
    </row>
    <row r="228" spans="1:3" x14ac:dyDescent="0.55000000000000004">
      <c r="A228" s="68">
        <v>459</v>
      </c>
      <c r="C228" s="68">
        <v>15.64</v>
      </c>
    </row>
    <row r="229" spans="1:3" x14ac:dyDescent="0.55000000000000004">
      <c r="A229" s="68">
        <v>385</v>
      </c>
      <c r="C229" s="68">
        <v>19.47</v>
      </c>
    </row>
    <row r="230" spans="1:3" x14ac:dyDescent="0.55000000000000004">
      <c r="A230" s="68">
        <v>385</v>
      </c>
      <c r="C230" s="68">
        <v>15.97</v>
      </c>
    </row>
    <row r="231" spans="1:3" x14ac:dyDescent="0.55000000000000004">
      <c r="A231" s="68">
        <v>385</v>
      </c>
      <c r="C231" s="68">
        <v>15.97</v>
      </c>
    </row>
    <row r="232" spans="1:3" x14ac:dyDescent="0.55000000000000004">
      <c r="A232" s="68">
        <v>385</v>
      </c>
      <c r="C232" s="68">
        <v>15.97</v>
      </c>
    </row>
    <row r="233" spans="1:3" x14ac:dyDescent="0.55000000000000004">
      <c r="A233" s="68">
        <v>385</v>
      </c>
      <c r="C233" s="68">
        <v>15.97</v>
      </c>
    </row>
    <row r="234" spans="1:3" x14ac:dyDescent="0.55000000000000004">
      <c r="A234" s="68">
        <v>385</v>
      </c>
      <c r="C234" s="68">
        <v>16.48</v>
      </c>
    </row>
    <row r="235" spans="1:3" x14ac:dyDescent="0.55000000000000004">
      <c r="A235" s="68">
        <v>222</v>
      </c>
      <c r="C235" s="68">
        <v>14.3</v>
      </c>
    </row>
    <row r="236" spans="1:3" x14ac:dyDescent="0.55000000000000004">
      <c r="A236" s="68">
        <v>222</v>
      </c>
      <c r="C236" s="68">
        <v>14.18</v>
      </c>
    </row>
    <row r="237" spans="1:3" x14ac:dyDescent="0.55000000000000004">
      <c r="A237" s="68">
        <v>558</v>
      </c>
      <c r="C237" s="68">
        <v>17.5</v>
      </c>
    </row>
    <row r="238" spans="1:3" x14ac:dyDescent="0.55000000000000004">
      <c r="A238" s="68">
        <v>558</v>
      </c>
      <c r="C238" s="68">
        <v>16.25</v>
      </c>
    </row>
    <row r="239" spans="1:3" x14ac:dyDescent="0.55000000000000004">
      <c r="A239" s="68">
        <v>558</v>
      </c>
      <c r="C239" s="68">
        <v>16.25</v>
      </c>
    </row>
    <row r="240" spans="1:3" x14ac:dyDescent="0.55000000000000004">
      <c r="A240" s="68">
        <v>558</v>
      </c>
      <c r="C240" s="68">
        <v>19</v>
      </c>
    </row>
    <row r="241" spans="1:3" x14ac:dyDescent="0.55000000000000004">
      <c r="A241" s="68">
        <v>558</v>
      </c>
      <c r="C241" s="68">
        <v>20</v>
      </c>
    </row>
    <row r="242" spans="1:3" x14ac:dyDescent="0.55000000000000004">
      <c r="A242" s="68">
        <v>558</v>
      </c>
      <c r="C242" s="68">
        <v>16</v>
      </c>
    </row>
    <row r="243" spans="1:3" x14ac:dyDescent="0.55000000000000004">
      <c r="A243" s="68">
        <v>558</v>
      </c>
      <c r="C243" s="68">
        <v>16</v>
      </c>
    </row>
    <row r="244" spans="1:3" x14ac:dyDescent="0.55000000000000004">
      <c r="A244" s="68">
        <v>558</v>
      </c>
      <c r="C244" s="68">
        <v>18</v>
      </c>
    </row>
    <row r="245" spans="1:3" x14ac:dyDescent="0.55000000000000004">
      <c r="A245" s="68">
        <v>558</v>
      </c>
      <c r="C245" s="68">
        <v>15.25</v>
      </c>
    </row>
    <row r="246" spans="1:3" x14ac:dyDescent="0.55000000000000004">
      <c r="A246" s="68">
        <v>558</v>
      </c>
      <c r="C246" s="68">
        <v>15.75</v>
      </c>
    </row>
    <row r="247" spans="1:3" x14ac:dyDescent="0.55000000000000004">
      <c r="A247" s="68">
        <v>558</v>
      </c>
      <c r="C247" s="68">
        <v>19</v>
      </c>
    </row>
    <row r="248" spans="1:3" x14ac:dyDescent="0.55000000000000004">
      <c r="A248" s="68">
        <v>558</v>
      </c>
      <c r="C248" s="68">
        <v>19.25</v>
      </c>
    </row>
    <row r="249" spans="1:3" x14ac:dyDescent="0.55000000000000004">
      <c r="A249" s="68">
        <v>558</v>
      </c>
      <c r="C249" s="68">
        <v>15.75</v>
      </c>
    </row>
    <row r="250" spans="1:3" x14ac:dyDescent="0.55000000000000004">
      <c r="A250" s="68">
        <v>558</v>
      </c>
      <c r="C250" s="68">
        <v>15.75</v>
      </c>
    </row>
    <row r="251" spans="1:3" x14ac:dyDescent="0.55000000000000004">
      <c r="A251" s="68">
        <v>558</v>
      </c>
      <c r="C251" s="68">
        <v>15.5</v>
      </c>
    </row>
    <row r="252" spans="1:3" x14ac:dyDescent="0.55000000000000004">
      <c r="A252" s="68">
        <v>642</v>
      </c>
      <c r="C252" s="68">
        <v>16.829999999999998</v>
      </c>
    </row>
    <row r="253" spans="1:3" x14ac:dyDescent="0.55000000000000004">
      <c r="A253" s="68">
        <v>642</v>
      </c>
      <c r="C253" s="68">
        <v>16.829999999999998</v>
      </c>
    </row>
    <row r="254" spans="1:3" x14ac:dyDescent="0.55000000000000004">
      <c r="A254" s="68">
        <v>642</v>
      </c>
      <c r="C254" s="68">
        <v>16.829999999999998</v>
      </c>
    </row>
    <row r="255" spans="1:3" x14ac:dyDescent="0.55000000000000004">
      <c r="A255" s="68">
        <v>642</v>
      </c>
      <c r="C255" s="68">
        <v>18.36</v>
      </c>
    </row>
    <row r="256" spans="1:3" x14ac:dyDescent="0.55000000000000004">
      <c r="A256" s="68">
        <v>642</v>
      </c>
      <c r="C256" s="68">
        <v>21.67</v>
      </c>
    </row>
    <row r="257" spans="1:3" x14ac:dyDescent="0.55000000000000004">
      <c r="A257" s="68">
        <v>642</v>
      </c>
      <c r="C257" s="68">
        <v>16.829999999999998</v>
      </c>
    </row>
    <row r="258" spans="1:3" x14ac:dyDescent="0.55000000000000004">
      <c r="A258" s="68">
        <v>642</v>
      </c>
      <c r="C258" s="68">
        <v>16.829999999999998</v>
      </c>
    </row>
    <row r="259" spans="1:3" x14ac:dyDescent="0.55000000000000004">
      <c r="A259" s="68">
        <v>642</v>
      </c>
      <c r="C259" s="68">
        <v>17.850000000000001</v>
      </c>
    </row>
    <row r="260" spans="1:3" x14ac:dyDescent="0.55000000000000004">
      <c r="A260" s="68">
        <v>642</v>
      </c>
      <c r="C260" s="68">
        <v>16.829999999999998</v>
      </c>
    </row>
    <row r="261" spans="1:3" x14ac:dyDescent="0.55000000000000004">
      <c r="A261" s="68">
        <v>642</v>
      </c>
      <c r="C261" s="68">
        <v>16.829999999999998</v>
      </c>
    </row>
    <row r="262" spans="1:3" x14ac:dyDescent="0.55000000000000004">
      <c r="A262" s="68">
        <v>642</v>
      </c>
      <c r="C262" s="68">
        <v>25</v>
      </c>
    </row>
    <row r="263" spans="1:3" x14ac:dyDescent="0.55000000000000004">
      <c r="A263" s="68">
        <v>642</v>
      </c>
      <c r="C263" s="68">
        <v>21.42</v>
      </c>
    </row>
    <row r="264" spans="1:3" x14ac:dyDescent="0.55000000000000004">
      <c r="A264" s="68">
        <v>642</v>
      </c>
      <c r="C264" s="68">
        <v>18.36</v>
      </c>
    </row>
    <row r="265" spans="1:3" x14ac:dyDescent="0.55000000000000004">
      <c r="A265" s="68">
        <v>642</v>
      </c>
      <c r="C265" s="68">
        <v>19.38</v>
      </c>
    </row>
    <row r="266" spans="1:3" x14ac:dyDescent="0.55000000000000004">
      <c r="A266" s="68">
        <v>642</v>
      </c>
      <c r="C266" s="68">
        <v>20.25</v>
      </c>
    </row>
    <row r="267" spans="1:3" x14ac:dyDescent="0.55000000000000004">
      <c r="A267" s="68">
        <v>642</v>
      </c>
      <c r="C267" s="68">
        <v>17.34</v>
      </c>
    </row>
    <row r="268" spans="1:3" x14ac:dyDescent="0.55000000000000004">
      <c r="A268" s="68">
        <v>642</v>
      </c>
      <c r="C268" s="68">
        <v>17.34</v>
      </c>
    </row>
    <row r="269" spans="1:3" x14ac:dyDescent="0.55000000000000004">
      <c r="A269" s="68">
        <v>642</v>
      </c>
      <c r="C269" s="68">
        <v>16.829999999999998</v>
      </c>
    </row>
    <row r="270" spans="1:3" x14ac:dyDescent="0.55000000000000004">
      <c r="A270" s="68">
        <v>658</v>
      </c>
      <c r="C270" s="68">
        <v>14.28</v>
      </c>
    </row>
    <row r="271" spans="1:3" x14ac:dyDescent="0.55000000000000004">
      <c r="A271" s="68">
        <v>658</v>
      </c>
      <c r="C271" s="68">
        <v>16.52</v>
      </c>
    </row>
    <row r="272" spans="1:3" x14ac:dyDescent="0.55000000000000004">
      <c r="A272" s="68">
        <v>658</v>
      </c>
      <c r="C272" s="68">
        <v>13.53</v>
      </c>
    </row>
    <row r="273" spans="1:3" x14ac:dyDescent="0.55000000000000004">
      <c r="A273" s="68">
        <v>658</v>
      </c>
      <c r="C273" s="68">
        <v>12.55</v>
      </c>
    </row>
    <row r="274" spans="1:3" x14ac:dyDescent="0.55000000000000004">
      <c r="A274" s="68">
        <v>563</v>
      </c>
      <c r="C274" s="68">
        <v>19.05</v>
      </c>
    </row>
    <row r="275" spans="1:3" x14ac:dyDescent="0.55000000000000004">
      <c r="A275" s="68">
        <v>563</v>
      </c>
      <c r="C275" s="68">
        <v>19.05</v>
      </c>
    </row>
    <row r="276" spans="1:3" x14ac:dyDescent="0.55000000000000004">
      <c r="A276" s="68">
        <v>984</v>
      </c>
      <c r="C276" s="68">
        <v>16.920000000000002</v>
      </c>
    </row>
    <row r="277" spans="1:3" x14ac:dyDescent="0.55000000000000004">
      <c r="A277" s="68">
        <v>984</v>
      </c>
      <c r="C277" s="68">
        <v>16.5</v>
      </c>
    </row>
    <row r="278" spans="1:3" x14ac:dyDescent="0.55000000000000004">
      <c r="A278" s="68">
        <v>382</v>
      </c>
      <c r="C278" s="68">
        <v>16.52</v>
      </c>
    </row>
    <row r="279" spans="1:3" x14ac:dyDescent="0.55000000000000004">
      <c r="A279" s="68">
        <v>382</v>
      </c>
      <c r="C279" s="68">
        <v>16.8</v>
      </c>
    </row>
    <row r="280" spans="1:3" x14ac:dyDescent="0.55000000000000004">
      <c r="A280" s="68">
        <v>382</v>
      </c>
      <c r="C280" s="68">
        <v>18.38</v>
      </c>
    </row>
    <row r="281" spans="1:3" x14ac:dyDescent="0.55000000000000004">
      <c r="A281" s="68">
        <v>382</v>
      </c>
      <c r="C281" s="68">
        <v>19.100000000000001</v>
      </c>
    </row>
    <row r="282" spans="1:3" x14ac:dyDescent="0.55000000000000004">
      <c r="A282" s="68">
        <v>382</v>
      </c>
      <c r="C282" s="68">
        <v>20.45</v>
      </c>
    </row>
    <row r="283" spans="1:3" x14ac:dyDescent="0.55000000000000004">
      <c r="A283" s="68">
        <v>382</v>
      </c>
      <c r="C283" s="68">
        <v>20.59</v>
      </c>
    </row>
    <row r="284" spans="1:3" x14ac:dyDescent="0.55000000000000004">
      <c r="A284" s="68">
        <v>771</v>
      </c>
      <c r="C284" s="68">
        <v>18.8</v>
      </c>
    </row>
    <row r="285" spans="1:3" x14ac:dyDescent="0.55000000000000004">
      <c r="A285" s="68">
        <v>771</v>
      </c>
      <c r="C285" s="68">
        <v>15.97</v>
      </c>
    </row>
    <row r="286" spans="1:3" x14ac:dyDescent="0.55000000000000004">
      <c r="A286" s="68">
        <v>771</v>
      </c>
      <c r="C286" s="68">
        <v>18.510000000000002</v>
      </c>
    </row>
    <row r="287" spans="1:3" x14ac:dyDescent="0.55000000000000004">
      <c r="A287" s="68">
        <v>771</v>
      </c>
      <c r="C287" s="68">
        <v>16.93</v>
      </c>
    </row>
    <row r="288" spans="1:3" x14ac:dyDescent="0.55000000000000004">
      <c r="A288" s="68">
        <v>771</v>
      </c>
      <c r="C288" s="68">
        <v>15.97</v>
      </c>
    </row>
    <row r="289" spans="1:3" x14ac:dyDescent="0.55000000000000004">
      <c r="A289" s="68">
        <v>771</v>
      </c>
      <c r="C289" s="68">
        <v>19.010000000000002</v>
      </c>
    </row>
    <row r="290" spans="1:3" x14ac:dyDescent="0.55000000000000004">
      <c r="A290" s="68">
        <v>550</v>
      </c>
      <c r="C290" s="68">
        <v>15.5</v>
      </c>
    </row>
    <row r="291" spans="1:3" x14ac:dyDescent="0.55000000000000004">
      <c r="A291" s="68">
        <v>550</v>
      </c>
      <c r="C291" s="68">
        <v>18.23</v>
      </c>
    </row>
    <row r="292" spans="1:3" x14ac:dyDescent="0.55000000000000004">
      <c r="A292" s="68">
        <v>550</v>
      </c>
      <c r="C292" s="68">
        <v>18.52</v>
      </c>
    </row>
    <row r="293" spans="1:3" x14ac:dyDescent="0.55000000000000004">
      <c r="A293" s="68">
        <v>550</v>
      </c>
      <c r="C293" s="68">
        <v>18.89</v>
      </c>
    </row>
    <row r="294" spans="1:3" x14ac:dyDescent="0.55000000000000004">
      <c r="A294" s="68">
        <v>962</v>
      </c>
      <c r="C294" s="68">
        <v>17.29</v>
      </c>
    </row>
    <row r="295" spans="1:3" x14ac:dyDescent="0.55000000000000004">
      <c r="A295" s="68">
        <v>962</v>
      </c>
      <c r="C295" s="68">
        <v>19.3</v>
      </c>
    </row>
    <row r="296" spans="1:3" x14ac:dyDescent="0.55000000000000004">
      <c r="A296" s="68">
        <v>962</v>
      </c>
      <c r="C296" s="68">
        <v>17.29</v>
      </c>
    </row>
    <row r="297" spans="1:3" x14ac:dyDescent="0.55000000000000004">
      <c r="A297" s="68">
        <v>962</v>
      </c>
      <c r="C297" s="68">
        <v>16.88</v>
      </c>
    </row>
    <row r="298" spans="1:3" x14ac:dyDescent="0.55000000000000004">
      <c r="A298" s="68">
        <v>962</v>
      </c>
      <c r="C298" s="68">
        <v>16.079999999999998</v>
      </c>
    </row>
    <row r="299" spans="1:3" x14ac:dyDescent="0.55000000000000004">
      <c r="A299" s="68">
        <v>962</v>
      </c>
      <c r="C299" s="68">
        <v>16.079999999999998</v>
      </c>
    </row>
    <row r="300" spans="1:3" x14ac:dyDescent="0.55000000000000004">
      <c r="A300" s="68">
        <v>962</v>
      </c>
      <c r="C300" s="68">
        <v>16.88</v>
      </c>
    </row>
    <row r="301" spans="1:3" x14ac:dyDescent="0.55000000000000004">
      <c r="A301" s="68">
        <v>318</v>
      </c>
      <c r="C301" s="68">
        <v>15</v>
      </c>
    </row>
    <row r="302" spans="1:3" x14ac:dyDescent="0.55000000000000004">
      <c r="A302" s="68">
        <v>318</v>
      </c>
      <c r="C302" s="68">
        <v>15.72</v>
      </c>
    </row>
    <row r="303" spans="1:3" x14ac:dyDescent="0.55000000000000004">
      <c r="A303" s="68">
        <v>318</v>
      </c>
      <c r="C303" s="68">
        <v>15.72</v>
      </c>
    </row>
    <row r="304" spans="1:3" x14ac:dyDescent="0.55000000000000004">
      <c r="A304" s="68">
        <v>318</v>
      </c>
      <c r="C304" s="68">
        <v>16.5</v>
      </c>
    </row>
    <row r="305" spans="1:3" x14ac:dyDescent="0.55000000000000004">
      <c r="A305" s="68">
        <v>318</v>
      </c>
      <c r="C305" s="68">
        <v>15.47</v>
      </c>
    </row>
    <row r="306" spans="1:3" x14ac:dyDescent="0.55000000000000004">
      <c r="A306" s="68">
        <v>235</v>
      </c>
      <c r="C306" s="68">
        <v>16.260000000000002</v>
      </c>
    </row>
    <row r="307" spans="1:3" x14ac:dyDescent="0.55000000000000004">
      <c r="A307" s="68">
        <v>235</v>
      </c>
      <c r="C307" s="68">
        <v>16.96</v>
      </c>
    </row>
    <row r="308" spans="1:3" x14ac:dyDescent="0.55000000000000004">
      <c r="A308" s="68">
        <v>235</v>
      </c>
      <c r="C308" s="68">
        <v>16.8</v>
      </c>
    </row>
    <row r="309" spans="1:3" x14ac:dyDescent="0.55000000000000004">
      <c r="A309" s="68">
        <v>235</v>
      </c>
      <c r="C309" s="68">
        <v>16.12</v>
      </c>
    </row>
    <row r="310" spans="1:3" x14ac:dyDescent="0.55000000000000004">
      <c r="A310" s="68">
        <v>235</v>
      </c>
      <c r="C310" s="68">
        <v>15.64</v>
      </c>
    </row>
    <row r="311" spans="1:3" x14ac:dyDescent="0.55000000000000004">
      <c r="A311" s="68">
        <v>606</v>
      </c>
      <c r="C311" s="68">
        <v>20.62</v>
      </c>
    </row>
    <row r="312" spans="1:3" x14ac:dyDescent="0.55000000000000004">
      <c r="A312" s="68">
        <v>156</v>
      </c>
      <c r="C312" s="68">
        <v>17.940000000000001</v>
      </c>
    </row>
    <row r="313" spans="1:3" x14ac:dyDescent="0.55000000000000004">
      <c r="A313" s="68">
        <v>156</v>
      </c>
      <c r="C313" s="68">
        <v>15.85</v>
      </c>
    </row>
    <row r="314" spans="1:3" x14ac:dyDescent="0.55000000000000004">
      <c r="A314" s="68">
        <v>156</v>
      </c>
      <c r="C314" s="68">
        <v>19.05</v>
      </c>
    </row>
    <row r="315" spans="1:3" x14ac:dyDescent="0.55000000000000004">
      <c r="A315" s="68">
        <v>156</v>
      </c>
      <c r="C315" s="68">
        <v>17.5</v>
      </c>
    </row>
    <row r="316" spans="1:3" x14ac:dyDescent="0.55000000000000004">
      <c r="A316" s="68">
        <v>803</v>
      </c>
      <c r="C316" s="68">
        <v>15.71</v>
      </c>
    </row>
    <row r="317" spans="1:3" x14ac:dyDescent="0.55000000000000004">
      <c r="A317" s="68">
        <v>803</v>
      </c>
      <c r="C317" s="68">
        <v>15</v>
      </c>
    </row>
    <row r="318" spans="1:3" x14ac:dyDescent="0.55000000000000004">
      <c r="A318" s="68">
        <v>926</v>
      </c>
      <c r="C318" s="68">
        <v>21.63</v>
      </c>
    </row>
    <row r="319" spans="1:3" x14ac:dyDescent="0.55000000000000004">
      <c r="A319" s="68">
        <v>926</v>
      </c>
      <c r="C319" s="68">
        <v>18</v>
      </c>
    </row>
    <row r="320" spans="1:3" x14ac:dyDescent="0.55000000000000004">
      <c r="A320" s="68">
        <v>926</v>
      </c>
      <c r="C320" s="68">
        <v>17</v>
      </c>
    </row>
    <row r="321" spans="1:3" x14ac:dyDescent="0.55000000000000004">
      <c r="A321" s="68">
        <v>902</v>
      </c>
      <c r="C321" s="68">
        <v>20</v>
      </c>
    </row>
    <row r="322" spans="1:3" x14ac:dyDescent="0.55000000000000004">
      <c r="A322" s="68">
        <v>902</v>
      </c>
      <c r="C322" s="68">
        <v>20.8</v>
      </c>
    </row>
    <row r="323" spans="1:3" x14ac:dyDescent="0.55000000000000004">
      <c r="A323" s="68">
        <v>712</v>
      </c>
      <c r="C323" s="68">
        <v>21.36</v>
      </c>
    </row>
    <row r="324" spans="1:3" x14ac:dyDescent="0.55000000000000004">
      <c r="A324" s="68">
        <v>712</v>
      </c>
      <c r="C324" s="68">
        <v>21.36</v>
      </c>
    </row>
    <row r="325" spans="1:3" x14ac:dyDescent="0.55000000000000004">
      <c r="A325" s="68">
        <v>535</v>
      </c>
      <c r="C325" s="68">
        <v>20.52</v>
      </c>
    </row>
    <row r="326" spans="1:3" x14ac:dyDescent="0.55000000000000004">
      <c r="A326" s="68">
        <v>535</v>
      </c>
      <c r="C326" s="68">
        <v>24.85</v>
      </c>
    </row>
    <row r="327" spans="1:3" x14ac:dyDescent="0.55000000000000004">
      <c r="A327" s="68">
        <v>420</v>
      </c>
      <c r="C327" s="68">
        <v>13</v>
      </c>
    </row>
    <row r="328" spans="1:3" x14ac:dyDescent="0.55000000000000004">
      <c r="A328" s="68">
        <v>420</v>
      </c>
      <c r="C328" s="68">
        <v>13</v>
      </c>
    </row>
    <row r="329" spans="1:3" x14ac:dyDescent="0.55000000000000004">
      <c r="A329" s="68">
        <v>571</v>
      </c>
      <c r="C329" s="68">
        <v>19.03</v>
      </c>
    </row>
    <row r="330" spans="1:3" x14ac:dyDescent="0.55000000000000004">
      <c r="A330" s="68">
        <v>571</v>
      </c>
      <c r="C330" s="68">
        <v>21.75</v>
      </c>
    </row>
    <row r="331" spans="1:3" x14ac:dyDescent="0.55000000000000004">
      <c r="A331" s="68">
        <v>571</v>
      </c>
      <c r="C331" s="68">
        <v>20.99</v>
      </c>
    </row>
    <row r="332" spans="1:3" x14ac:dyDescent="0.55000000000000004">
      <c r="A332" s="68">
        <v>571</v>
      </c>
      <c r="C332" s="68">
        <v>17.649999999999999</v>
      </c>
    </row>
    <row r="333" spans="1:3" x14ac:dyDescent="0.55000000000000004">
      <c r="A333" s="68">
        <v>604</v>
      </c>
      <c r="C333" s="68">
        <v>15.74</v>
      </c>
    </row>
    <row r="334" spans="1:3" x14ac:dyDescent="0.55000000000000004">
      <c r="A334" s="68">
        <v>604</v>
      </c>
      <c r="C334" s="68">
        <v>15.74</v>
      </c>
    </row>
    <row r="335" spans="1:3" x14ac:dyDescent="0.55000000000000004">
      <c r="A335" s="68">
        <v>604</v>
      </c>
      <c r="C335" s="68">
        <v>15.74</v>
      </c>
    </row>
    <row r="336" spans="1:3" x14ac:dyDescent="0.55000000000000004">
      <c r="A336" s="68">
        <v>212</v>
      </c>
      <c r="C336" s="68">
        <v>14</v>
      </c>
    </row>
    <row r="337" spans="1:3" x14ac:dyDescent="0.55000000000000004">
      <c r="A337" s="68">
        <v>212</v>
      </c>
      <c r="C337" s="68">
        <v>17.600000000000001</v>
      </c>
    </row>
    <row r="338" spans="1:3" x14ac:dyDescent="0.55000000000000004">
      <c r="A338" s="68">
        <v>212</v>
      </c>
      <c r="C338" s="68">
        <v>19.09</v>
      </c>
    </row>
    <row r="339" spans="1:3" x14ac:dyDescent="0.55000000000000004">
      <c r="A339" s="68">
        <v>212</v>
      </c>
      <c r="C339" s="68">
        <v>19.46</v>
      </c>
    </row>
    <row r="340" spans="1:3" x14ac:dyDescent="0.55000000000000004">
      <c r="A340" s="68">
        <v>953</v>
      </c>
      <c r="C340" s="68">
        <v>15.12</v>
      </c>
    </row>
    <row r="341" spans="1:3" x14ac:dyDescent="0.55000000000000004">
      <c r="A341" s="68">
        <v>953</v>
      </c>
      <c r="C341" s="68">
        <v>20.74</v>
      </c>
    </row>
    <row r="342" spans="1:3" x14ac:dyDescent="0.55000000000000004">
      <c r="A342" s="68">
        <v>953</v>
      </c>
      <c r="C342" s="68">
        <v>17.79</v>
      </c>
    </row>
    <row r="343" spans="1:3" x14ac:dyDescent="0.55000000000000004">
      <c r="A343" s="68">
        <v>756</v>
      </c>
      <c r="C343" s="68">
        <v>17</v>
      </c>
    </row>
    <row r="344" spans="1:3" x14ac:dyDescent="0.55000000000000004">
      <c r="A344" s="68">
        <v>500</v>
      </c>
      <c r="C344" s="68">
        <v>13</v>
      </c>
    </row>
    <row r="345" spans="1:3" x14ac:dyDescent="0.55000000000000004">
      <c r="A345" s="68">
        <v>500</v>
      </c>
      <c r="C345" s="68">
        <v>13.5</v>
      </c>
    </row>
    <row r="346" spans="1:3" x14ac:dyDescent="0.55000000000000004">
      <c r="A346" s="68">
        <v>500</v>
      </c>
      <c r="C346" s="68">
        <v>14.25</v>
      </c>
    </row>
    <row r="347" spans="1:3" x14ac:dyDescent="0.55000000000000004">
      <c r="A347" s="68">
        <v>500</v>
      </c>
      <c r="C347" s="68">
        <v>18.52</v>
      </c>
    </row>
    <row r="348" spans="1:3" x14ac:dyDescent="0.55000000000000004">
      <c r="A348" s="68">
        <v>500</v>
      </c>
      <c r="C348" s="68">
        <v>13</v>
      </c>
    </row>
    <row r="349" spans="1:3" x14ac:dyDescent="0.55000000000000004">
      <c r="A349" s="68">
        <v>500</v>
      </c>
      <c r="C349" s="68">
        <v>14.25</v>
      </c>
    </row>
    <row r="350" spans="1:3" x14ac:dyDescent="0.55000000000000004">
      <c r="A350" s="68">
        <v>500</v>
      </c>
      <c r="C350" s="68">
        <v>13.75</v>
      </c>
    </row>
    <row r="351" spans="1:3" x14ac:dyDescent="0.55000000000000004">
      <c r="A351" s="68">
        <v>500</v>
      </c>
      <c r="C351" s="68">
        <v>16.04</v>
      </c>
    </row>
    <row r="352" spans="1:3" x14ac:dyDescent="0.55000000000000004">
      <c r="A352" s="68">
        <v>500</v>
      </c>
      <c r="C352" s="68">
        <v>15.5</v>
      </c>
    </row>
    <row r="353" spans="1:3" x14ac:dyDescent="0.55000000000000004">
      <c r="A353" s="68">
        <v>500</v>
      </c>
      <c r="C353" s="68">
        <v>13.25</v>
      </c>
    </row>
    <row r="354" spans="1:3" x14ac:dyDescent="0.55000000000000004">
      <c r="A354" s="68">
        <v>500</v>
      </c>
      <c r="C354" s="68">
        <v>13.25</v>
      </c>
    </row>
    <row r="355" spans="1:3" x14ac:dyDescent="0.55000000000000004">
      <c r="A355" s="68">
        <v>500</v>
      </c>
      <c r="C355" s="68">
        <v>15.69</v>
      </c>
    </row>
    <row r="356" spans="1:3" x14ac:dyDescent="0.55000000000000004">
      <c r="A356" s="68">
        <v>500</v>
      </c>
      <c r="C356" s="68">
        <v>13</v>
      </c>
    </row>
    <row r="357" spans="1:3" x14ac:dyDescent="0.55000000000000004">
      <c r="A357" s="68">
        <v>500</v>
      </c>
      <c r="C357" s="68">
        <v>13.5</v>
      </c>
    </row>
    <row r="358" spans="1:3" x14ac:dyDescent="0.55000000000000004">
      <c r="A358" s="68">
        <v>500</v>
      </c>
      <c r="C358" s="68">
        <v>13</v>
      </c>
    </row>
    <row r="359" spans="1:3" x14ac:dyDescent="0.55000000000000004">
      <c r="A359" s="68">
        <v>500</v>
      </c>
      <c r="C359" s="68">
        <v>14.5</v>
      </c>
    </row>
    <row r="360" spans="1:3" x14ac:dyDescent="0.55000000000000004">
      <c r="A360" s="68">
        <v>500</v>
      </c>
      <c r="C360" s="68">
        <v>13</v>
      </c>
    </row>
    <row r="361" spans="1:3" x14ac:dyDescent="0.55000000000000004">
      <c r="A361" s="68">
        <v>500</v>
      </c>
      <c r="C361" s="68">
        <v>13</v>
      </c>
    </row>
    <row r="362" spans="1:3" x14ac:dyDescent="0.55000000000000004">
      <c r="A362" s="68">
        <v>718</v>
      </c>
      <c r="C362" s="68">
        <v>16.73</v>
      </c>
    </row>
    <row r="363" spans="1:3" x14ac:dyDescent="0.55000000000000004">
      <c r="A363" s="68">
        <v>718</v>
      </c>
      <c r="C363" s="68">
        <v>18.09</v>
      </c>
    </row>
    <row r="364" spans="1:3" x14ac:dyDescent="0.55000000000000004">
      <c r="A364" s="68">
        <v>718</v>
      </c>
      <c r="C364" s="68">
        <v>19.04</v>
      </c>
    </row>
    <row r="365" spans="1:3" x14ac:dyDescent="0.55000000000000004">
      <c r="A365" s="68">
        <v>718</v>
      </c>
      <c r="C365" s="68">
        <v>20.77</v>
      </c>
    </row>
    <row r="366" spans="1:3" x14ac:dyDescent="0.55000000000000004">
      <c r="A366" s="68">
        <v>718</v>
      </c>
      <c r="C366" s="68">
        <v>21.77</v>
      </c>
    </row>
    <row r="367" spans="1:3" x14ac:dyDescent="0.55000000000000004">
      <c r="A367" s="68">
        <v>718</v>
      </c>
      <c r="C367" s="68">
        <v>21.77</v>
      </c>
    </row>
    <row r="368" spans="1:3" x14ac:dyDescent="0.55000000000000004">
      <c r="A368" s="68">
        <v>718</v>
      </c>
      <c r="C368" s="68">
        <v>21.77</v>
      </c>
    </row>
    <row r="369" spans="1:3" x14ac:dyDescent="0.55000000000000004">
      <c r="A369" s="68">
        <v>852</v>
      </c>
      <c r="C369" s="68">
        <v>15</v>
      </c>
    </row>
    <row r="370" spans="1:3" x14ac:dyDescent="0.55000000000000004">
      <c r="A370" s="68">
        <v>852</v>
      </c>
      <c r="C370" s="68">
        <v>15</v>
      </c>
    </row>
    <row r="371" spans="1:3" x14ac:dyDescent="0.55000000000000004">
      <c r="A371" s="68">
        <v>852</v>
      </c>
      <c r="C371" s="68">
        <v>19.260000000000002</v>
      </c>
    </row>
    <row r="372" spans="1:3" x14ac:dyDescent="0.55000000000000004">
      <c r="A372" s="68">
        <v>852</v>
      </c>
      <c r="C372" s="68">
        <v>20.66</v>
      </c>
    </row>
    <row r="373" spans="1:3" x14ac:dyDescent="0.55000000000000004">
      <c r="A373" s="68">
        <v>852</v>
      </c>
      <c r="C373" s="68">
        <v>22.06</v>
      </c>
    </row>
    <row r="374" spans="1:3" x14ac:dyDescent="0.55000000000000004">
      <c r="A374" s="68">
        <v>852</v>
      </c>
      <c r="C374" s="68">
        <v>22.06</v>
      </c>
    </row>
    <row r="375" spans="1:3" x14ac:dyDescent="0.55000000000000004">
      <c r="A375" s="68">
        <v>590</v>
      </c>
      <c r="C375" s="68">
        <v>16</v>
      </c>
    </row>
    <row r="376" spans="1:3" x14ac:dyDescent="0.55000000000000004">
      <c r="A376" s="68">
        <v>590</v>
      </c>
      <c r="C376" s="68">
        <v>16</v>
      </c>
    </row>
    <row r="377" spans="1:3" x14ac:dyDescent="0.55000000000000004">
      <c r="A377" s="68">
        <v>590</v>
      </c>
      <c r="C377" s="68">
        <v>16</v>
      </c>
    </row>
    <row r="378" spans="1:3" x14ac:dyDescent="0.55000000000000004">
      <c r="A378" s="68">
        <v>590</v>
      </c>
      <c r="C378" s="68">
        <v>16</v>
      </c>
    </row>
    <row r="379" spans="1:3" x14ac:dyDescent="0.55000000000000004">
      <c r="A379" s="68">
        <v>590</v>
      </c>
      <c r="C379" s="68">
        <v>15.75</v>
      </c>
    </row>
    <row r="380" spans="1:3" x14ac:dyDescent="0.55000000000000004">
      <c r="A380" s="68">
        <v>590</v>
      </c>
      <c r="C380" s="68">
        <v>15.75</v>
      </c>
    </row>
    <row r="381" spans="1:3" x14ac:dyDescent="0.55000000000000004">
      <c r="A381" s="68">
        <v>590</v>
      </c>
      <c r="C381" s="68">
        <v>21.77</v>
      </c>
    </row>
    <row r="382" spans="1:3" x14ac:dyDescent="0.55000000000000004">
      <c r="A382" s="68">
        <v>540</v>
      </c>
      <c r="C382" s="68">
        <v>18.829999999999998</v>
      </c>
    </row>
    <row r="383" spans="1:3" x14ac:dyDescent="0.55000000000000004">
      <c r="A383" s="68">
        <v>540</v>
      </c>
      <c r="C383" s="68">
        <v>20.41</v>
      </c>
    </row>
    <row r="384" spans="1:3" x14ac:dyDescent="0.55000000000000004">
      <c r="A384" s="68">
        <v>540</v>
      </c>
      <c r="C384" s="68">
        <v>18.48</v>
      </c>
    </row>
    <row r="385" spans="1:3" x14ac:dyDescent="0.55000000000000004">
      <c r="A385" s="68">
        <v>540</v>
      </c>
      <c r="C385" s="68">
        <v>19.09</v>
      </c>
    </row>
    <row r="386" spans="1:3" x14ac:dyDescent="0.55000000000000004">
      <c r="A386" s="68">
        <v>540</v>
      </c>
      <c r="C386" s="68">
        <v>19.98</v>
      </c>
    </row>
    <row r="387" spans="1:3" x14ac:dyDescent="0.55000000000000004">
      <c r="A387" s="68">
        <v>540</v>
      </c>
      <c r="C387" s="68">
        <v>21.63</v>
      </c>
    </row>
    <row r="388" spans="1:3" x14ac:dyDescent="0.55000000000000004">
      <c r="A388" s="68">
        <v>824</v>
      </c>
      <c r="C388" s="68">
        <v>17.7</v>
      </c>
    </row>
    <row r="389" spans="1:3" x14ac:dyDescent="0.55000000000000004">
      <c r="A389" s="68">
        <v>824</v>
      </c>
      <c r="C389" s="68">
        <v>17.05</v>
      </c>
    </row>
    <row r="390" spans="1:3" x14ac:dyDescent="0.55000000000000004">
      <c r="A390" s="68">
        <v>824</v>
      </c>
      <c r="C390" s="68">
        <v>17.989999999999998</v>
      </c>
    </row>
    <row r="391" spans="1:3" x14ac:dyDescent="0.55000000000000004">
      <c r="A391" s="68">
        <v>824</v>
      </c>
      <c r="C391" s="68">
        <v>17.309999999999999</v>
      </c>
    </row>
    <row r="392" spans="1:3" x14ac:dyDescent="0.55000000000000004">
      <c r="A392" s="68">
        <v>173</v>
      </c>
      <c r="C392" s="68">
        <v>17.7</v>
      </c>
    </row>
    <row r="393" spans="1:3" x14ac:dyDescent="0.55000000000000004">
      <c r="A393" s="68">
        <v>173</v>
      </c>
      <c r="C393" s="68">
        <v>19.899999999999999</v>
      </c>
    </row>
    <row r="394" spans="1:3" x14ac:dyDescent="0.55000000000000004">
      <c r="A394" s="68">
        <v>173</v>
      </c>
      <c r="C394" s="68">
        <v>21.4</v>
      </c>
    </row>
    <row r="395" spans="1:3" x14ac:dyDescent="0.55000000000000004">
      <c r="A395" s="68">
        <v>173</v>
      </c>
      <c r="C395" s="68">
        <v>22.2</v>
      </c>
    </row>
    <row r="396" spans="1:3" x14ac:dyDescent="0.55000000000000004">
      <c r="A396" s="68">
        <v>227</v>
      </c>
      <c r="C396" s="68">
        <v>15.53</v>
      </c>
    </row>
    <row r="397" spans="1:3" x14ac:dyDescent="0.55000000000000004">
      <c r="A397" s="68">
        <v>227</v>
      </c>
      <c r="C397" s="68">
        <v>11.83</v>
      </c>
    </row>
    <row r="398" spans="1:3" x14ac:dyDescent="0.55000000000000004">
      <c r="A398" s="68">
        <v>227</v>
      </c>
      <c r="C398" s="68">
        <v>16.36</v>
      </c>
    </row>
    <row r="399" spans="1:3" x14ac:dyDescent="0.55000000000000004">
      <c r="A399" s="68">
        <v>227</v>
      </c>
      <c r="C399" s="68">
        <v>11.83</v>
      </c>
    </row>
    <row r="400" spans="1:3" x14ac:dyDescent="0.55000000000000004">
      <c r="A400" s="68">
        <v>319</v>
      </c>
      <c r="C400" s="68">
        <v>20</v>
      </c>
    </row>
    <row r="401" spans="1:3" x14ac:dyDescent="0.55000000000000004">
      <c r="A401" s="68">
        <v>122</v>
      </c>
      <c r="C401" s="68">
        <v>18.25</v>
      </c>
    </row>
    <row r="402" spans="1:3" x14ac:dyDescent="0.55000000000000004">
      <c r="A402" s="68">
        <v>122</v>
      </c>
      <c r="C402" s="68">
        <v>25.75</v>
      </c>
    </row>
    <row r="403" spans="1:3" x14ac:dyDescent="0.55000000000000004">
      <c r="A403" s="68">
        <v>122</v>
      </c>
      <c r="C403" s="68">
        <v>22.66</v>
      </c>
    </row>
    <row r="404" spans="1:3" x14ac:dyDescent="0.55000000000000004">
      <c r="A404" s="68">
        <v>122</v>
      </c>
      <c r="C404" s="68">
        <v>17.5</v>
      </c>
    </row>
    <row r="405" spans="1:3" x14ac:dyDescent="0.55000000000000004">
      <c r="A405" s="68">
        <v>122</v>
      </c>
      <c r="C405" s="68">
        <v>16.25</v>
      </c>
    </row>
    <row r="406" spans="1:3" x14ac:dyDescent="0.55000000000000004">
      <c r="A406" s="68">
        <v>122</v>
      </c>
      <c r="C406" s="68">
        <v>24.21</v>
      </c>
    </row>
    <row r="407" spans="1:3" x14ac:dyDescent="0.55000000000000004">
      <c r="A407" s="68">
        <v>122</v>
      </c>
      <c r="C407" s="68">
        <v>18.25</v>
      </c>
    </row>
    <row r="408" spans="1:3" x14ac:dyDescent="0.55000000000000004">
      <c r="A408" s="68">
        <v>122</v>
      </c>
      <c r="C408" s="68">
        <v>18.25</v>
      </c>
    </row>
    <row r="409" spans="1:3" x14ac:dyDescent="0.55000000000000004">
      <c r="A409" s="68">
        <v>646</v>
      </c>
      <c r="C409" s="68">
        <v>16.239999999999998</v>
      </c>
    </row>
    <row r="410" spans="1:3" x14ac:dyDescent="0.55000000000000004">
      <c r="A410" s="68">
        <v>646</v>
      </c>
      <c r="C410" s="68">
        <v>15.31</v>
      </c>
    </row>
    <row r="411" spans="1:3" x14ac:dyDescent="0.55000000000000004">
      <c r="A411" s="68">
        <v>646</v>
      </c>
      <c r="C411" s="68">
        <v>20.52</v>
      </c>
    </row>
    <row r="412" spans="1:3" x14ac:dyDescent="0.55000000000000004">
      <c r="A412" s="68">
        <v>646</v>
      </c>
      <c r="C412" s="68">
        <v>20.32</v>
      </c>
    </row>
    <row r="413" spans="1:3" x14ac:dyDescent="0.55000000000000004">
      <c r="A413" s="68">
        <v>646</v>
      </c>
      <c r="C413" s="68">
        <v>20.32</v>
      </c>
    </row>
    <row r="414" spans="1:3" x14ac:dyDescent="0.55000000000000004">
      <c r="A414" s="68">
        <v>646</v>
      </c>
      <c r="C414" s="68">
        <v>19.920000000000002</v>
      </c>
    </row>
    <row r="415" spans="1:3" x14ac:dyDescent="0.55000000000000004">
      <c r="A415" s="68">
        <v>646</v>
      </c>
      <c r="C415" s="68">
        <v>19.53</v>
      </c>
    </row>
    <row r="416" spans="1:3" x14ac:dyDescent="0.55000000000000004">
      <c r="A416" s="68">
        <v>646</v>
      </c>
      <c r="C416" s="68">
        <v>22.36</v>
      </c>
    </row>
    <row r="417" spans="1:3" x14ac:dyDescent="0.55000000000000004">
      <c r="A417" s="68">
        <v>646</v>
      </c>
      <c r="C417" s="68">
        <v>21.49</v>
      </c>
    </row>
    <row r="418" spans="1:3" x14ac:dyDescent="0.55000000000000004">
      <c r="A418" s="68">
        <v>777</v>
      </c>
      <c r="C418" s="68">
        <v>17</v>
      </c>
    </row>
    <row r="419" spans="1:3" x14ac:dyDescent="0.55000000000000004">
      <c r="A419" s="68">
        <v>777</v>
      </c>
      <c r="C419" s="68">
        <v>16.48</v>
      </c>
    </row>
    <row r="420" spans="1:3" x14ac:dyDescent="0.55000000000000004">
      <c r="A420" s="68">
        <v>142</v>
      </c>
      <c r="C420" s="68">
        <v>16.95</v>
      </c>
    </row>
    <row r="421" spans="1:3" x14ac:dyDescent="0.55000000000000004">
      <c r="A421" s="68">
        <v>315</v>
      </c>
      <c r="C421" s="68">
        <v>22.46</v>
      </c>
    </row>
    <row r="422" spans="1:3" x14ac:dyDescent="0.55000000000000004">
      <c r="A422" s="68">
        <v>315</v>
      </c>
      <c r="C422" s="68">
        <v>23.11</v>
      </c>
    </row>
    <row r="423" spans="1:3" x14ac:dyDescent="0.55000000000000004">
      <c r="A423" s="68">
        <v>315</v>
      </c>
      <c r="C423" s="68">
        <v>24.41</v>
      </c>
    </row>
    <row r="424" spans="1:3" x14ac:dyDescent="0.55000000000000004">
      <c r="A424" s="68">
        <v>315</v>
      </c>
      <c r="C424" s="68">
        <v>25.9</v>
      </c>
    </row>
    <row r="425" spans="1:3" x14ac:dyDescent="0.55000000000000004">
      <c r="A425" s="68">
        <v>452</v>
      </c>
      <c r="C425" s="68">
        <v>16.22</v>
      </c>
    </row>
    <row r="426" spans="1:3" x14ac:dyDescent="0.55000000000000004">
      <c r="A426" s="68">
        <v>452</v>
      </c>
      <c r="C426" s="68">
        <v>16.22</v>
      </c>
    </row>
    <row r="427" spans="1:3" x14ac:dyDescent="0.55000000000000004">
      <c r="A427" s="68">
        <v>452</v>
      </c>
      <c r="C427" s="68">
        <v>17.05</v>
      </c>
    </row>
    <row r="428" spans="1:3" x14ac:dyDescent="0.55000000000000004">
      <c r="A428" s="68">
        <v>336</v>
      </c>
      <c r="C428" s="68">
        <v>19.89</v>
      </c>
    </row>
    <row r="429" spans="1:3" x14ac:dyDescent="0.55000000000000004">
      <c r="A429" s="68">
        <v>336</v>
      </c>
      <c r="C429" s="68">
        <v>17.95</v>
      </c>
    </row>
  </sheetData>
  <sheetProtection algorithmName="SHA-512" hashValue="Ny6/sNWC7T3aDDzebJtHxcJ6sV1hiypQvlKo8plOU07xQFr1rWpGny6PPRngeo40jSE3bd3rvPCYPNd0gcS07A==" saltValue="OMRv0cLFxo6JXCqaa/ppA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C7F6-0DF7-4B68-8735-390FC06DF6B4}">
  <dimension ref="A1:AF103"/>
  <sheetViews>
    <sheetView topLeftCell="G1" workbookViewId="0">
      <selection activeCell="AA2" sqref="AA2"/>
    </sheetView>
  </sheetViews>
  <sheetFormatPr defaultColWidth="9.15625" defaultRowHeight="14.4" x14ac:dyDescent="0.55000000000000004"/>
  <cols>
    <col min="1" max="1" width="12.68359375" style="10" customWidth="1"/>
    <col min="2" max="2" width="11" style="10" customWidth="1"/>
    <col min="3" max="3" width="11.83984375" style="10" customWidth="1"/>
    <col min="4" max="5" width="12" style="10" customWidth="1"/>
    <col min="6" max="6" width="10.26171875" style="10" customWidth="1"/>
    <col min="7" max="7" width="12.41796875" style="12" bestFit="1" customWidth="1"/>
    <col min="8" max="8" width="14.26171875" style="12" bestFit="1" customWidth="1"/>
    <col min="9" max="9" width="14.26171875" style="12" customWidth="1"/>
    <col min="10" max="10" width="14.26171875" style="11" customWidth="1"/>
    <col min="11" max="11" width="10" style="10" customWidth="1"/>
    <col min="12" max="14" width="9.15625" style="13"/>
    <col min="15" max="15" width="10.578125" style="13" bestFit="1" customWidth="1"/>
    <col min="16" max="16" width="9.578125" style="10" bestFit="1" customWidth="1"/>
    <col min="17" max="20" width="9.15625" style="10"/>
    <col min="21" max="21" width="14.26171875" style="12" bestFit="1" customWidth="1"/>
    <col min="22" max="22" width="14.26171875" style="12" customWidth="1"/>
    <col min="23" max="26" width="11.15625" style="14" bestFit="1" customWidth="1"/>
    <col min="27" max="16384" width="9.15625" style="10"/>
  </cols>
  <sheetData>
    <row r="1" spans="1:32" s="5" customFormat="1" ht="86.4" x14ac:dyDescent="0.55000000000000004">
      <c r="A1" s="5" t="s">
        <v>13</v>
      </c>
      <c r="B1" s="5" t="s">
        <v>54</v>
      </c>
      <c r="C1" s="5" t="s">
        <v>156</v>
      </c>
      <c r="D1" s="5" t="s">
        <v>157</v>
      </c>
      <c r="E1" s="5" t="s">
        <v>57</v>
      </c>
      <c r="F1" s="6" t="s">
        <v>158</v>
      </c>
      <c r="G1" s="7" t="s">
        <v>159</v>
      </c>
      <c r="H1" s="7" t="s">
        <v>60</v>
      </c>
      <c r="I1" s="7" t="s">
        <v>160</v>
      </c>
      <c r="J1" s="6" t="s">
        <v>161</v>
      </c>
      <c r="K1" s="5" t="s">
        <v>162</v>
      </c>
      <c r="L1" s="8" t="s">
        <v>163</v>
      </c>
      <c r="M1" s="8" t="s">
        <v>164</v>
      </c>
      <c r="N1" s="8" t="s">
        <v>165</v>
      </c>
      <c r="O1" s="8" t="s">
        <v>166</v>
      </c>
      <c r="P1" s="5" t="s">
        <v>66</v>
      </c>
      <c r="Q1" s="5" t="s">
        <v>67</v>
      </c>
      <c r="R1" s="5" t="s">
        <v>68</v>
      </c>
      <c r="S1" s="5" t="s">
        <v>69</v>
      </c>
      <c r="T1" s="5" t="s">
        <v>70</v>
      </c>
      <c r="U1" s="7" t="s">
        <v>71</v>
      </c>
      <c r="V1" s="7" t="s">
        <v>72</v>
      </c>
      <c r="W1" s="9" t="s">
        <v>73</v>
      </c>
      <c r="X1" s="9" t="s">
        <v>74</v>
      </c>
      <c r="Y1" s="9" t="s">
        <v>75</v>
      </c>
      <c r="Z1" s="9" t="s">
        <v>76</v>
      </c>
      <c r="AA1" s="5" t="s">
        <v>77</v>
      </c>
      <c r="AD1" s="5" t="s">
        <v>78</v>
      </c>
      <c r="AE1" s="6">
        <f>+Summary!$Q$2</f>
        <v>25</v>
      </c>
    </row>
    <row r="2" spans="1:32" x14ac:dyDescent="0.55000000000000004">
      <c r="A2" s="10">
        <v>540</v>
      </c>
      <c r="B2" s="10" t="s">
        <v>54</v>
      </c>
      <c r="C2" s="10">
        <f>VLOOKUP($A2,'SAS Data'!$1:$1048576,MATCH(C$1,'SAS Data'!$3:$3,0),FALSE)</f>
        <v>8</v>
      </c>
      <c r="D2" s="10">
        <f>VLOOKUP($A2,'SAS Data'!$1:$1048576,MATCH(D$1,'SAS Data'!$3:$3,0),FALSE)</f>
        <v>3</v>
      </c>
      <c r="E2" s="10">
        <f t="shared" ref="E2" si="0">SUM(C2:D2)</f>
        <v>11</v>
      </c>
      <c r="F2" s="11">
        <f>VLOOKUP($A2,'SAS Data'!$1:$1048576,MATCH(F$1,'SAS Data'!$3:$3,0),FALSE)</f>
        <v>0</v>
      </c>
      <c r="G2" s="12">
        <f>VLOOKUP($A2,'SAS Data'!$1:$1048576,MATCH(G$1,'SAS Data'!$3:$3,0),FALSE)</f>
        <v>9228</v>
      </c>
      <c r="H2" s="12">
        <f>+Housekeeping_sample[[#This Row],[Hkpg Cph]]*Housekeeping_sample[[#This Row],[Hkpg Hrsn]]</f>
        <v>0</v>
      </c>
      <c r="I2" s="12">
        <f>VLOOKUP(Housekeeping_sample[[#This Row],[Random ID]],'Estimator data 120523'!$A:$H,8,FALSE)</f>
        <v>50994.330974538687</v>
      </c>
      <c r="J2" s="11">
        <f>+Housekeeping_sample[[#This Row],[Costs Rate Estimator]]/Housekeeping_sample[[#This Row],[Hkpg Hrsn]]</f>
        <v>5.5260436686756274</v>
      </c>
      <c r="K2" s="10">
        <f>COUNTIF('HSKG detail'!A:A,A2)</f>
        <v>12</v>
      </c>
      <c r="L2" s="13">
        <v>15.4</v>
      </c>
      <c r="M2" s="13">
        <v>21.63</v>
      </c>
      <c r="N2" s="13">
        <v>16.945</v>
      </c>
      <c r="O2" s="13">
        <v>17.647500000000001</v>
      </c>
      <c r="P2" s="10">
        <f>COUNTIFS('HSKG detail'!$A:$A,$A2,'HSKG detail'!$C:$C,"&lt;"&amp;N2)</f>
        <v>6</v>
      </c>
      <c r="Q2" s="10">
        <f>COUNTIFS('HSKG detail'!$A:$A,$A2,'HSKG detail'!$C:$C,"&lt;"&amp;O2)</f>
        <v>8</v>
      </c>
      <c r="R2" s="10">
        <f>COUNTIFS('HSKG detail'!$A:$A,$A2,'HSKG detail'!$C:$C,"&lt;"&amp;$AE$1)</f>
        <v>12</v>
      </c>
      <c r="S2" s="10">
        <f>COUNTIFS('HSKG detail'!$A:$A,$A2,'HSKG detail'!$C:$C,"&lt;"&amp;$AE$2)</f>
        <v>8</v>
      </c>
      <c r="T2" s="10">
        <f>COUNTIFS('HSKG detail'!$A:$A,$A2,'HSKG detail'!$C:$C,"&lt;"&amp;$AE$3)</f>
        <v>8</v>
      </c>
      <c r="U2" s="12">
        <f>+Housekeeping_sample[[#This Row],[Hkpg median]]*Housekeeping_sample[[#This Row],[Hkpg Hrsn]]</f>
        <v>156368.46</v>
      </c>
      <c r="V2" s="12">
        <f>+Housekeeping_sample[[#This Row],[Hkpg average]]*Housekeeping_sample[[#This Row],[Hkpg Hrsn]]</f>
        <v>162851.13</v>
      </c>
      <c r="W2" s="14">
        <f>Housekeeping_sample[[#This Row],[Est median wage cost ]]/Housekeeping_sample[[#This Row],[Costs Rate Estimator]]</f>
        <v>3.0663890870158546</v>
      </c>
      <c r="X2" s="14">
        <f>Housekeeping_sample[[#This Row],[Est average wage cost]]/Housekeeping_sample[[#This Row],[Costs Rate Estimator]]</f>
        <v>3.1935143944002533</v>
      </c>
      <c r="Y2" s="14">
        <f>+Housekeeping_sample[[#This Row],[Hkpg min]]/Housekeeping_sample[[#This Row],[Hkpg median]]</f>
        <v>0.90882266155208025</v>
      </c>
      <c r="Z2" s="14">
        <f>+Housekeeping_sample[[#This Row],[Hkpg max]]/Housekeeping_sample[[#This Row],[Hkpg median]]</f>
        <v>1.2764827382708763</v>
      </c>
      <c r="AA2" s="10">
        <f>VLOOKUP(A2,Summary!$1:$1048576,2,FALSE)</f>
        <v>2</v>
      </c>
      <c r="AD2" s="15" t="s">
        <v>79</v>
      </c>
      <c r="AE2" s="11">
        <f>+Housekeeping_sample[[#Totals],[Est median wage cost ]]/Housekeeping_sample[[#Totals],[Hkpg Hrsn]]</f>
        <v>17.066763480184481</v>
      </c>
      <c r="AF2" s="10" t="s">
        <v>80</v>
      </c>
    </row>
    <row r="3" spans="1:32" x14ac:dyDescent="0.55000000000000004">
      <c r="A3" s="10">
        <v>142</v>
      </c>
      <c r="B3" s="10" t="s">
        <v>54</v>
      </c>
      <c r="C3" s="10">
        <f>VLOOKUP($A3,'SAS Data'!$1:$1048576,MATCH(C$1,'SAS Data'!$3:$3,0),FALSE)</f>
        <v>7</v>
      </c>
      <c r="D3" s="10">
        <f>VLOOKUP($A3,'SAS Data'!$1:$1048576,MATCH(D$1,'SAS Data'!$3:$3,0),FALSE)</f>
        <v>1</v>
      </c>
      <c r="E3" s="10">
        <f t="shared" ref="E3:E66" si="1">SUM(C3:D3)</f>
        <v>8</v>
      </c>
      <c r="F3" s="11">
        <f>VLOOKUP($A3,'SAS Data'!$1:$1048576,MATCH(F$1,'SAS Data'!$3:$3,0),FALSE)</f>
        <v>0</v>
      </c>
      <c r="G3" s="12">
        <f>VLOOKUP($A3,'SAS Data'!$1:$1048576,MATCH(G$1,'SAS Data'!$3:$3,0),FALSE)</f>
        <v>13004</v>
      </c>
      <c r="H3" s="12">
        <f>+Housekeeping_sample[[#This Row],[Hkpg Cph]]*Housekeeping_sample[[#This Row],[Hkpg Hrsn]]</f>
        <v>0</v>
      </c>
      <c r="I3" s="12">
        <f>VLOOKUP(Housekeeping_sample[[#This Row],[Random ID]],'Estimator data 120523'!$A:$H,8,FALSE)</f>
        <v>116734.81800958668</v>
      </c>
      <c r="J3" s="11">
        <f>+Housekeeping_sample[[#This Row],[Costs Rate Estimator]]/Housekeeping_sample[[#This Row],[Hkpg Hrsn]]</f>
        <v>8.9768392809586803</v>
      </c>
      <c r="K3" s="10">
        <f>COUNTIF('HSKG detail'!A:A,A3)</f>
        <v>8</v>
      </c>
      <c r="L3" s="13">
        <v>16.107199999999999</v>
      </c>
      <c r="M3" s="13">
        <v>18.0336</v>
      </c>
      <c r="N3" s="13">
        <v>16.8</v>
      </c>
      <c r="O3" s="13">
        <v>16.95825</v>
      </c>
      <c r="P3" s="10">
        <f>COUNTIFS('HSKG detail'!$A:$A,$A3,'HSKG detail'!$C:$C,"&lt;"&amp;N3)</f>
        <v>2</v>
      </c>
      <c r="Q3" s="10">
        <f>COUNTIFS('HSKG detail'!$A:$A,$A3,'HSKG detail'!$C:$C,"&lt;"&amp;O3)</f>
        <v>6</v>
      </c>
      <c r="R3" s="10">
        <f>COUNTIFS('HSKG detail'!$A:$A,$A3,'HSKG detail'!$C:$C,"&lt;"&amp;$AE$1)</f>
        <v>8</v>
      </c>
      <c r="S3" s="10">
        <f>COUNTIFS('HSKG detail'!$A:$A,$A3,'HSKG detail'!$C:$C,"&lt;"&amp;$AE$2)</f>
        <v>6</v>
      </c>
      <c r="T3" s="10">
        <f>COUNTIFS('HSKG detail'!$A:$A,$A3,'HSKG detail'!$C:$C,"&lt;"&amp;$AE$3)</f>
        <v>6</v>
      </c>
      <c r="U3" s="12">
        <f>+Housekeeping_sample[[#This Row],[Hkpg median]]*Housekeeping_sample[[#This Row],[Hkpg Hrsn]]</f>
        <v>218467.20000000001</v>
      </c>
      <c r="V3" s="12">
        <f>+Housekeeping_sample[[#This Row],[Hkpg average]]*Housekeeping_sample[[#This Row],[Hkpg Hrsn]]</f>
        <v>220525.08299999998</v>
      </c>
      <c r="W3" s="14">
        <f>Housekeeping_sample[[#This Row],[Est median wage cost ]]/Housekeeping_sample[[#This Row],[Costs Rate Estimator]]</f>
        <v>1.8714827651683039</v>
      </c>
      <c r="X3" s="14">
        <f>Housekeeping_sample[[#This Row],[Est average wage cost]]/Housekeeping_sample[[#This Row],[Costs Rate Estimator]]</f>
        <v>1.8891114644294873</v>
      </c>
      <c r="Y3" s="14">
        <f>+Housekeeping_sample[[#This Row],[Hkpg min]]/Housekeeping_sample[[#This Row],[Hkpg median]]</f>
        <v>0.9587619047619047</v>
      </c>
      <c r="Z3" s="14">
        <f>+Housekeeping_sample[[#This Row],[Hkpg max]]/Housekeeping_sample[[#This Row],[Hkpg median]]</f>
        <v>1.0734285714285714</v>
      </c>
      <c r="AA3" s="10">
        <f>VLOOKUP(A3,Summary!$1:$1048576,2,FALSE)</f>
        <v>2</v>
      </c>
      <c r="AD3" s="15" t="s">
        <v>81</v>
      </c>
      <c r="AE3" s="11">
        <f>+Housekeeping_sample[[#Totals],[Est average wage cost]]/Housekeeping_sample[[#Totals],[Hkpg Hrsn]]</f>
        <v>17.241922686559903</v>
      </c>
      <c r="AF3" s="10" t="s">
        <v>82</v>
      </c>
    </row>
    <row r="4" spans="1:32" x14ac:dyDescent="0.55000000000000004">
      <c r="A4" s="10">
        <v>984</v>
      </c>
      <c r="B4" s="10" t="s">
        <v>54</v>
      </c>
      <c r="C4" s="10">
        <f>VLOOKUP($A4,'SAS Data'!$1:$1048576,MATCH(C$1,'SAS Data'!$3:$3,0),FALSE)</f>
        <v>5</v>
      </c>
      <c r="D4" s="10">
        <f>VLOOKUP($A4,'SAS Data'!$1:$1048576,MATCH(D$1,'SAS Data'!$3:$3,0),FALSE)</f>
        <v>1</v>
      </c>
      <c r="E4" s="10">
        <f t="shared" si="1"/>
        <v>6</v>
      </c>
      <c r="F4" s="11">
        <f>VLOOKUP($A4,'SAS Data'!$1:$1048576,MATCH(F$1,'SAS Data'!$3:$3,0),FALSE)</f>
        <v>0</v>
      </c>
      <c r="G4" s="12">
        <f>VLOOKUP($A4,'SAS Data'!$1:$1048576,MATCH(G$1,'SAS Data'!$3:$3,0),FALSE)</f>
        <v>8934</v>
      </c>
      <c r="H4" s="12">
        <f>+Housekeeping_sample[[#This Row],[Hkpg Cph]]*Housekeeping_sample[[#This Row],[Hkpg Hrsn]]</f>
        <v>0</v>
      </c>
      <c r="I4" s="12">
        <f>VLOOKUP(Housekeeping_sample[[#This Row],[Random ID]],'Estimator data 120523'!$A:$H,8,FALSE)</f>
        <v>99073.339226137381</v>
      </c>
      <c r="J4" s="11">
        <f>+Housekeeping_sample[[#This Row],[Costs Rate Estimator]]/Housekeeping_sample[[#This Row],[Hkpg Hrsn]]</f>
        <v>11.089471594597871</v>
      </c>
      <c r="K4" s="10">
        <f>COUNTIF('HSKG detail'!A:A,A4)</f>
        <v>7</v>
      </c>
      <c r="L4" s="13">
        <v>15.6</v>
      </c>
      <c r="M4" s="13">
        <v>22</v>
      </c>
      <c r="N4" s="13">
        <v>16.8</v>
      </c>
      <c r="O4" s="13">
        <v>18.101428571428574</v>
      </c>
      <c r="P4" s="10">
        <f>COUNTIFS('HSKG detail'!$A:$A,$A4,'HSKG detail'!$C:$C,"&lt;"&amp;N4)</f>
        <v>3</v>
      </c>
      <c r="Q4" s="10">
        <f>COUNTIFS('HSKG detail'!$A:$A,$A4,'HSKG detail'!$C:$C,"&lt;"&amp;O4)</f>
        <v>4</v>
      </c>
      <c r="R4" s="10">
        <f>COUNTIFS('HSKG detail'!$A:$A,$A4,'HSKG detail'!$C:$C,"&lt;"&amp;$AE$1)</f>
        <v>7</v>
      </c>
      <c r="S4" s="10">
        <f>COUNTIFS('HSKG detail'!$A:$A,$A4,'HSKG detail'!$C:$C,"&lt;"&amp;$AE$2)</f>
        <v>4</v>
      </c>
      <c r="T4" s="10">
        <f>COUNTIFS('HSKG detail'!$A:$A,$A4,'HSKG detail'!$C:$C,"&lt;"&amp;$AE$3)</f>
        <v>4</v>
      </c>
      <c r="U4" s="12">
        <f>+Housekeeping_sample[[#This Row],[Hkpg median]]*Housekeeping_sample[[#This Row],[Hkpg Hrsn]]</f>
        <v>150091.20000000001</v>
      </c>
      <c r="V4" s="12">
        <f>+Housekeeping_sample[[#This Row],[Hkpg average]]*Housekeeping_sample[[#This Row],[Hkpg Hrsn]]</f>
        <v>161718.16285714289</v>
      </c>
      <c r="W4" s="14">
        <f>Housekeeping_sample[[#This Row],[Est median wage cost ]]/Housekeeping_sample[[#This Row],[Costs Rate Estimator]]</f>
        <v>1.5149504515782302</v>
      </c>
      <c r="X4" s="14">
        <f>Housekeeping_sample[[#This Row],[Est average wage cost]]/Housekeeping_sample[[#This Row],[Costs Rate Estimator]]</f>
        <v>1.6323075826486189</v>
      </c>
      <c r="Y4" s="14">
        <f>+Housekeeping_sample[[#This Row],[Hkpg min]]/Housekeeping_sample[[#This Row],[Hkpg median]]</f>
        <v>0.92857142857142849</v>
      </c>
      <c r="Z4" s="14">
        <f>+Housekeeping_sample[[#This Row],[Hkpg max]]/Housekeeping_sample[[#This Row],[Hkpg median]]</f>
        <v>1.3095238095238095</v>
      </c>
      <c r="AA4" s="10">
        <f>VLOOKUP(A4,Summary!$1:$1048576,2,FALSE)</f>
        <v>2</v>
      </c>
      <c r="AD4" s="15"/>
    </row>
    <row r="5" spans="1:32" x14ac:dyDescent="0.55000000000000004">
      <c r="A5" s="10">
        <v>452</v>
      </c>
      <c r="B5" s="10" t="s">
        <v>54</v>
      </c>
      <c r="C5" s="10">
        <f>VLOOKUP($A5,'SAS Data'!$1:$1048576,MATCH(C$1,'SAS Data'!$3:$3,0),FALSE)</f>
        <v>1</v>
      </c>
      <c r="D5" s="10">
        <f>VLOOKUP($A5,'SAS Data'!$1:$1048576,MATCH(D$1,'SAS Data'!$3:$3,0),FALSE)</f>
        <v>0</v>
      </c>
      <c r="E5" s="10">
        <f t="shared" si="1"/>
        <v>1</v>
      </c>
      <c r="F5" s="11">
        <f>VLOOKUP($A5,'SAS Data'!$1:$1048576,MATCH(F$1,'SAS Data'!$3:$3,0),FALSE)</f>
        <v>12.470563674321504</v>
      </c>
      <c r="G5" s="12">
        <f>VLOOKUP($A5,'SAS Data'!$1:$1048576,MATCH(G$1,'SAS Data'!$3:$3,0),FALSE)</f>
        <v>2395</v>
      </c>
      <c r="H5" s="12">
        <f>+Housekeeping_sample[[#This Row],[Hkpg Cph]]*Housekeeping_sample[[#This Row],[Hkpg Hrsn]]</f>
        <v>29867</v>
      </c>
      <c r="I5" s="12">
        <f>VLOOKUP(Housekeeping_sample[[#This Row],[Random ID]],'Estimator data 120523'!$A:$H,8,FALSE)</f>
        <v>27925</v>
      </c>
      <c r="J5" s="11">
        <f>+Housekeeping_sample[[#This Row],[Costs Rate Estimator]]/Housekeeping_sample[[#This Row],[Hkpg Hrsn]]</f>
        <v>11.659707724425887</v>
      </c>
      <c r="K5" s="10">
        <f>COUNTIF('HSKG detail'!A:A,A5)</f>
        <v>2</v>
      </c>
      <c r="L5" s="13">
        <v>18.22</v>
      </c>
      <c r="M5" s="13">
        <v>18.95</v>
      </c>
      <c r="N5" s="13">
        <v>18.585000000000001</v>
      </c>
      <c r="O5" s="13">
        <v>18.585000000000001</v>
      </c>
      <c r="P5" s="10">
        <f>COUNTIFS('HSKG detail'!$A:$A,$A5,'HSKG detail'!$C:$C,"&lt;"&amp;N5)</f>
        <v>1</v>
      </c>
      <c r="Q5" s="10">
        <f>COUNTIFS('HSKG detail'!$A:$A,$A5,'HSKG detail'!$C:$C,"&lt;"&amp;O5)</f>
        <v>1</v>
      </c>
      <c r="R5" s="10">
        <f>COUNTIFS('HSKG detail'!$A:$A,$A5,'HSKG detail'!$C:$C,"&lt;"&amp;$AE$1)</f>
        <v>2</v>
      </c>
      <c r="S5" s="10">
        <f>COUNTIFS('HSKG detail'!$A:$A,$A5,'HSKG detail'!$C:$C,"&lt;"&amp;$AE$2)</f>
        <v>0</v>
      </c>
      <c r="T5" s="10">
        <f>COUNTIFS('HSKG detail'!$A:$A,$A5,'HSKG detail'!$C:$C,"&lt;"&amp;$AE$3)</f>
        <v>0</v>
      </c>
      <c r="U5" s="12">
        <f>+Housekeeping_sample[[#This Row],[Hkpg median]]*Housekeeping_sample[[#This Row],[Hkpg Hrsn]]</f>
        <v>44511.075000000004</v>
      </c>
      <c r="V5" s="12">
        <f>+Housekeeping_sample[[#This Row],[Hkpg average]]*Housekeeping_sample[[#This Row],[Hkpg Hrsn]]</f>
        <v>44511.075000000004</v>
      </c>
      <c r="W5" s="14">
        <f>Housekeeping_sample[[#This Row],[Est median wage cost ]]/Housekeeping_sample[[#This Row],[Costs Rate Estimator]]</f>
        <v>1.5939507609668757</v>
      </c>
      <c r="X5" s="14">
        <f>Housekeeping_sample[[#This Row],[Est average wage cost]]/Housekeeping_sample[[#This Row],[Costs Rate Estimator]]</f>
        <v>1.5939507609668757</v>
      </c>
      <c r="Y5" s="14">
        <f>+Housekeeping_sample[[#This Row],[Hkpg min]]/Housekeeping_sample[[#This Row],[Hkpg median]]</f>
        <v>0.9803605057842345</v>
      </c>
      <c r="Z5" s="14">
        <f>+Housekeeping_sample[[#This Row],[Hkpg max]]/Housekeeping_sample[[#This Row],[Hkpg median]]</f>
        <v>1.0196394942157654</v>
      </c>
      <c r="AA5" s="10">
        <f>VLOOKUP(A5,Summary!$1:$1048576,2,FALSE)</f>
        <v>1</v>
      </c>
    </row>
    <row r="6" spans="1:32" x14ac:dyDescent="0.55000000000000004">
      <c r="A6" s="10">
        <v>997</v>
      </c>
      <c r="B6" s="10" t="s">
        <v>54</v>
      </c>
      <c r="C6" s="10">
        <f>VLOOKUP($A6,'SAS Data'!$1:$1048576,MATCH(C$1,'SAS Data'!$3:$3,0),FALSE)</f>
        <v>0</v>
      </c>
      <c r="D6" s="10">
        <f>VLOOKUP($A6,'SAS Data'!$1:$1048576,MATCH(D$1,'SAS Data'!$3:$3,0),FALSE)</f>
        <v>0</v>
      </c>
      <c r="E6" s="10">
        <f t="shared" si="1"/>
        <v>0</v>
      </c>
      <c r="F6" s="11">
        <f>VLOOKUP($A6,'SAS Data'!$1:$1048576,MATCH(F$1,'SAS Data'!$3:$3,0),FALSE)</f>
        <v>0</v>
      </c>
      <c r="G6" s="12">
        <f>VLOOKUP($A6,'SAS Data'!$1:$1048576,MATCH(G$1,'SAS Data'!$3:$3,0),FALSE)</f>
        <v>3663</v>
      </c>
      <c r="H6" s="12">
        <f>+Housekeeping_sample[[#This Row],[Hkpg Cph]]*Housekeeping_sample[[#This Row],[Hkpg Hrsn]]</f>
        <v>0</v>
      </c>
      <c r="I6" s="12">
        <f>VLOOKUP(Housekeeping_sample[[#This Row],[Random ID]],'Estimator data 120523'!$A:$H,8,FALSE)</f>
        <v>45554.440499000135</v>
      </c>
      <c r="J6" s="11">
        <f>+Housekeeping_sample[[#This Row],[Costs Rate Estimator]]/Housekeeping_sample[[#This Row],[Hkpg Hrsn]]</f>
        <v>12.43637469260173</v>
      </c>
      <c r="K6" s="10">
        <f>COUNTIF('HSKG detail'!A:A,A6)</f>
        <v>3</v>
      </c>
      <c r="L6" s="13">
        <v>15.66404</v>
      </c>
      <c r="M6" s="13">
        <v>16.784040000000001</v>
      </c>
      <c r="N6" s="13">
        <v>15.75404</v>
      </c>
      <c r="O6" s="13">
        <v>16.067373333333332</v>
      </c>
      <c r="P6" s="10">
        <f>COUNTIFS('HSKG detail'!$A:$A,$A6,'HSKG detail'!$C:$C,"&lt;"&amp;N6)</f>
        <v>1</v>
      </c>
      <c r="Q6" s="10">
        <f>COUNTIFS('HSKG detail'!$A:$A,$A6,'HSKG detail'!$C:$C,"&lt;"&amp;O6)</f>
        <v>2</v>
      </c>
      <c r="R6" s="10">
        <f>COUNTIFS('HSKG detail'!$A:$A,$A6,'HSKG detail'!$C:$C,"&lt;"&amp;$AE$1)</f>
        <v>3</v>
      </c>
      <c r="S6" s="10">
        <f>COUNTIFS('HSKG detail'!$A:$A,$A6,'HSKG detail'!$C:$C,"&lt;"&amp;$AE$2)</f>
        <v>3</v>
      </c>
      <c r="T6" s="10">
        <f>COUNTIFS('HSKG detail'!$A:$A,$A6,'HSKG detail'!$C:$C,"&lt;"&amp;$AE$3)</f>
        <v>3</v>
      </c>
      <c r="U6" s="12">
        <f>+Housekeeping_sample[[#This Row],[Hkpg median]]*Housekeeping_sample[[#This Row],[Hkpg Hrsn]]</f>
        <v>57707.048519999997</v>
      </c>
      <c r="V6" s="12">
        <f>+Housekeeping_sample[[#This Row],[Hkpg average]]*Housekeeping_sample[[#This Row],[Hkpg Hrsn]]</f>
        <v>58854.788519999995</v>
      </c>
      <c r="W6" s="14">
        <f>Housekeeping_sample[[#This Row],[Est median wage cost ]]/Housekeeping_sample[[#This Row],[Costs Rate Estimator]]</f>
        <v>1.2667710960310576</v>
      </c>
      <c r="X6" s="14">
        <f>Housekeeping_sample[[#This Row],[Est average wage cost]]/Housekeeping_sample[[#This Row],[Costs Rate Estimator]]</f>
        <v>1.2919660054060325</v>
      </c>
      <c r="Y6" s="14">
        <f>+Housekeeping_sample[[#This Row],[Hkpg min]]/Housekeeping_sample[[#This Row],[Hkpg median]]</f>
        <v>0.99428717966946889</v>
      </c>
      <c r="Z6" s="14">
        <f>+Housekeeping_sample[[#This Row],[Hkpg max]]/Housekeeping_sample[[#This Row],[Hkpg median]]</f>
        <v>1.0653800548938559</v>
      </c>
      <c r="AA6" s="10">
        <f>VLOOKUP(A6,Summary!$1:$1048576,2,FALSE)</f>
        <v>1</v>
      </c>
    </row>
    <row r="7" spans="1:32" x14ac:dyDescent="0.55000000000000004">
      <c r="A7" s="10">
        <v>227</v>
      </c>
      <c r="B7" s="10" t="s">
        <v>54</v>
      </c>
      <c r="C7" s="10">
        <f>VLOOKUP($A7,'SAS Data'!$1:$1048576,MATCH(C$1,'SAS Data'!$3:$3,0),FALSE)</f>
        <v>1</v>
      </c>
      <c r="D7" s="10">
        <f>VLOOKUP($A7,'SAS Data'!$1:$1048576,MATCH(D$1,'SAS Data'!$3:$3,0),FALSE)</f>
        <v>2</v>
      </c>
      <c r="E7" s="10">
        <f t="shared" si="1"/>
        <v>3</v>
      </c>
      <c r="F7" s="11">
        <f>VLOOKUP($A7,'SAS Data'!$1:$1048576,MATCH(F$1,'SAS Data'!$3:$3,0),FALSE)</f>
        <v>12.517002081887577</v>
      </c>
      <c r="G7" s="12">
        <f>VLOOKUP($A7,'SAS Data'!$1:$1048576,MATCH(G$1,'SAS Data'!$3:$3,0),FALSE)</f>
        <v>1441</v>
      </c>
      <c r="H7" s="12">
        <f>+Housekeeping_sample[[#This Row],[Hkpg Cph]]*Housekeeping_sample[[#This Row],[Hkpg Hrsn]]</f>
        <v>18037</v>
      </c>
      <c r="I7" s="12">
        <f>VLOOKUP(Housekeeping_sample[[#This Row],[Random ID]],'Estimator data 120523'!$A:$H,8,FALSE)</f>
        <v>18359</v>
      </c>
      <c r="J7" s="11">
        <f>+Housekeeping_sample[[#This Row],[Costs Rate Estimator]]/Housekeeping_sample[[#This Row],[Hkpg Hrsn]]</f>
        <v>12.740458015267176</v>
      </c>
      <c r="K7" s="10">
        <f>COUNTIF('HSKG detail'!A:A,A7)</f>
        <v>2</v>
      </c>
      <c r="L7" s="13">
        <v>12.5</v>
      </c>
      <c r="M7" s="13">
        <v>16</v>
      </c>
      <c r="N7" s="13">
        <v>14.25</v>
      </c>
      <c r="O7" s="13">
        <v>14.25</v>
      </c>
      <c r="P7" s="10">
        <f>COUNTIFS('HSKG detail'!$A:$A,$A7,'HSKG detail'!$C:$C,"&lt;"&amp;N7)</f>
        <v>1</v>
      </c>
      <c r="Q7" s="10">
        <f>COUNTIFS('HSKG detail'!$A:$A,$A7,'HSKG detail'!$C:$C,"&lt;"&amp;O7)</f>
        <v>1</v>
      </c>
      <c r="R7" s="10">
        <f>COUNTIFS('HSKG detail'!$A:$A,$A7,'HSKG detail'!$C:$C,"&lt;"&amp;$AE$1)</f>
        <v>2</v>
      </c>
      <c r="S7" s="10">
        <f>COUNTIFS('HSKG detail'!$A:$A,$A7,'HSKG detail'!$C:$C,"&lt;"&amp;$AE$2)</f>
        <v>2</v>
      </c>
      <c r="T7" s="10">
        <f>COUNTIFS('HSKG detail'!$A:$A,$A7,'HSKG detail'!$C:$C,"&lt;"&amp;$AE$3)</f>
        <v>2</v>
      </c>
      <c r="U7" s="12">
        <f>+Housekeeping_sample[[#This Row],[Hkpg median]]*Housekeeping_sample[[#This Row],[Hkpg Hrsn]]</f>
        <v>20534.25</v>
      </c>
      <c r="V7" s="12">
        <f>+Housekeeping_sample[[#This Row],[Hkpg average]]*Housekeeping_sample[[#This Row],[Hkpg Hrsn]]</f>
        <v>20534.25</v>
      </c>
      <c r="W7" s="14">
        <f>Housekeeping_sample[[#This Row],[Est median wage cost ]]/Housekeeping_sample[[#This Row],[Costs Rate Estimator]]</f>
        <v>1.1184841222288795</v>
      </c>
      <c r="X7" s="14">
        <f>Housekeeping_sample[[#This Row],[Est average wage cost]]/Housekeeping_sample[[#This Row],[Costs Rate Estimator]]</f>
        <v>1.1184841222288795</v>
      </c>
      <c r="Y7" s="14">
        <f>+Housekeeping_sample[[#This Row],[Hkpg min]]/Housekeeping_sample[[#This Row],[Hkpg median]]</f>
        <v>0.8771929824561403</v>
      </c>
      <c r="Z7" s="14">
        <f>+Housekeeping_sample[[#This Row],[Hkpg max]]/Housekeeping_sample[[#This Row],[Hkpg median]]</f>
        <v>1.1228070175438596</v>
      </c>
      <c r="AA7" s="10">
        <f>VLOOKUP(A7,Summary!$1:$1048576,2,FALSE)</f>
        <v>2</v>
      </c>
      <c r="AD7" s="15" t="s">
        <v>83</v>
      </c>
      <c r="AE7" s="14">
        <f>+Housekeeping_sample[[#Totals],[Below median]]/Housekeeping_sample[[#Totals],[Hkpg count Per Data Sample]]</f>
        <v>0.38652482269503546</v>
      </c>
    </row>
    <row r="8" spans="1:32" x14ac:dyDescent="0.55000000000000004">
      <c r="A8" s="10">
        <v>928</v>
      </c>
      <c r="B8" s="10" t="s">
        <v>54</v>
      </c>
      <c r="C8" s="10">
        <f>VLOOKUP($A8,'SAS Data'!$1:$1048576,MATCH(C$1,'SAS Data'!$3:$3,0),FALSE)</f>
        <v>1</v>
      </c>
      <c r="D8" s="10">
        <f>VLOOKUP($A8,'SAS Data'!$1:$1048576,MATCH(D$1,'SAS Data'!$3:$3,0),FALSE)</f>
        <v>2</v>
      </c>
      <c r="E8" s="10">
        <f t="shared" si="1"/>
        <v>3</v>
      </c>
      <c r="F8" s="11">
        <f>VLOOKUP($A8,'SAS Data'!$1:$1048576,MATCH(F$1,'SAS Data'!$3:$3,0),FALSE)</f>
        <v>17.066167290886391</v>
      </c>
      <c r="G8" s="12">
        <f>VLOOKUP($A8,'SAS Data'!$1:$1048576,MATCH(G$1,'SAS Data'!$3:$3,0),FALSE)</f>
        <v>3204</v>
      </c>
      <c r="H8" s="12">
        <f>+Housekeeping_sample[[#This Row],[Hkpg Cph]]*Housekeeping_sample[[#This Row],[Hkpg Hrsn]]</f>
        <v>54679.999999999993</v>
      </c>
      <c r="I8" s="12">
        <f>VLOOKUP(Housekeeping_sample[[#This Row],[Random ID]],'Estimator data 120523'!$A:$H,8,FALSE)</f>
        <v>41432</v>
      </c>
      <c r="J8" s="11">
        <f>+Housekeeping_sample[[#This Row],[Costs Rate Estimator]]/Housekeeping_sample[[#This Row],[Hkpg Hrsn]]</f>
        <v>12.931335830212234</v>
      </c>
      <c r="K8" s="10">
        <f>COUNTIF('HSKG detail'!A:A,A8)</f>
        <v>6</v>
      </c>
      <c r="L8" s="13">
        <v>14</v>
      </c>
      <c r="M8" s="13">
        <v>16.5</v>
      </c>
      <c r="N8" s="13">
        <v>15</v>
      </c>
      <c r="O8" s="13">
        <v>15.083333333333334</v>
      </c>
      <c r="P8" s="10">
        <f>COUNTIFS('HSKG detail'!$A:$A,$A8,'HSKG detail'!$C:$C,"&lt;"&amp;N8)</f>
        <v>1</v>
      </c>
      <c r="Q8" s="10">
        <f>COUNTIFS('HSKG detail'!$A:$A,$A8,'HSKG detail'!$C:$C,"&lt;"&amp;O8)</f>
        <v>5</v>
      </c>
      <c r="R8" s="10">
        <f>COUNTIFS('HSKG detail'!$A:$A,$A8,'HSKG detail'!$C:$C,"&lt;"&amp;$AE$1)</f>
        <v>6</v>
      </c>
      <c r="S8" s="10">
        <f>COUNTIFS('HSKG detail'!$A:$A,$A8,'HSKG detail'!$C:$C,"&lt;"&amp;$AE$2)</f>
        <v>6</v>
      </c>
      <c r="T8" s="10">
        <f>COUNTIFS('HSKG detail'!$A:$A,$A8,'HSKG detail'!$C:$C,"&lt;"&amp;$AE$3)</f>
        <v>6</v>
      </c>
      <c r="U8" s="12">
        <f>+Housekeeping_sample[[#This Row],[Hkpg median]]*Housekeeping_sample[[#This Row],[Hkpg Hrsn]]</f>
        <v>48060</v>
      </c>
      <c r="V8" s="12">
        <f>+Housekeeping_sample[[#This Row],[Hkpg average]]*Housekeeping_sample[[#This Row],[Hkpg Hrsn]]</f>
        <v>48327</v>
      </c>
      <c r="W8" s="14">
        <f>Housekeeping_sample[[#This Row],[Est median wage cost ]]/Housekeeping_sample[[#This Row],[Costs Rate Estimator]]</f>
        <v>1.1599729677543928</v>
      </c>
      <c r="X8" s="14">
        <f>Housekeeping_sample[[#This Row],[Est average wage cost]]/Housekeeping_sample[[#This Row],[Costs Rate Estimator]]</f>
        <v>1.1664172620196949</v>
      </c>
      <c r="Y8" s="14">
        <f>+Housekeeping_sample[[#This Row],[Hkpg min]]/Housekeeping_sample[[#This Row],[Hkpg median]]</f>
        <v>0.93333333333333335</v>
      </c>
      <c r="Z8" s="14">
        <f>+Housekeeping_sample[[#This Row],[Hkpg max]]/Housekeeping_sample[[#This Row],[Hkpg median]]</f>
        <v>1.1000000000000001</v>
      </c>
      <c r="AA8" s="10">
        <f>VLOOKUP(A8,Summary!$1:$1048576,2,FALSE)</f>
        <v>1</v>
      </c>
      <c r="AD8" s="15" t="s">
        <v>84</v>
      </c>
      <c r="AE8" s="14">
        <f>+Housekeeping_sample[[#Totals],[Below Average]]/Housekeeping_sample[[#Totals],[Hkpg count Per Data Sample]]</f>
        <v>0.53900709219858156</v>
      </c>
    </row>
    <row r="9" spans="1:32" x14ac:dyDescent="0.55000000000000004">
      <c r="A9" s="10">
        <v>801</v>
      </c>
      <c r="B9" s="10" t="s">
        <v>54</v>
      </c>
      <c r="C9" s="10">
        <f>VLOOKUP($A9,'SAS Data'!$1:$1048576,MATCH(C$1,'SAS Data'!$3:$3,0),FALSE)</f>
        <v>2</v>
      </c>
      <c r="D9" s="10">
        <f>VLOOKUP($A9,'SAS Data'!$1:$1048576,MATCH(D$1,'SAS Data'!$3:$3,0),FALSE)</f>
        <v>0</v>
      </c>
      <c r="E9" s="10">
        <f t="shared" si="1"/>
        <v>2</v>
      </c>
      <c r="F9" s="11">
        <f>VLOOKUP($A9,'SAS Data'!$1:$1048576,MATCH(F$1,'SAS Data'!$3:$3,0),FALSE)</f>
        <v>13.62779552715655</v>
      </c>
      <c r="G9" s="12">
        <f>VLOOKUP($A9,'SAS Data'!$1:$1048576,MATCH(G$1,'SAS Data'!$3:$3,0),FALSE)</f>
        <v>3130</v>
      </c>
      <c r="H9" s="12">
        <f>+Housekeeping_sample[[#This Row],[Hkpg Cph]]*Housekeeping_sample[[#This Row],[Hkpg Hrsn]]</f>
        <v>42655</v>
      </c>
      <c r="I9" s="12">
        <f>VLOOKUP(Housekeeping_sample[[#This Row],[Random ID]],'Estimator data 120523'!$A:$H,8,FALSE)</f>
        <v>41151</v>
      </c>
      <c r="J9" s="11">
        <f>+Housekeeping_sample[[#This Row],[Costs Rate Estimator]]/Housekeeping_sample[[#This Row],[Hkpg Hrsn]]</f>
        <v>13.147284345047924</v>
      </c>
      <c r="K9" s="10">
        <f>COUNTIF('HSKG detail'!A:A,A9)</f>
        <v>2</v>
      </c>
      <c r="L9" s="13">
        <v>13</v>
      </c>
      <c r="M9" s="13">
        <v>17</v>
      </c>
      <c r="N9" s="13">
        <v>15</v>
      </c>
      <c r="O9" s="13">
        <v>15</v>
      </c>
      <c r="P9" s="10">
        <f>COUNTIFS('HSKG detail'!$A:$A,$A9,'HSKG detail'!$C:$C,"&lt;"&amp;N9)</f>
        <v>1</v>
      </c>
      <c r="Q9" s="10">
        <f>COUNTIFS('HSKG detail'!$A:$A,$A9,'HSKG detail'!$C:$C,"&lt;"&amp;O9)</f>
        <v>1</v>
      </c>
      <c r="R9" s="10">
        <f>COUNTIFS('HSKG detail'!$A:$A,$A9,'HSKG detail'!$C:$C,"&lt;"&amp;$AE$1)</f>
        <v>2</v>
      </c>
      <c r="S9" s="10">
        <f>COUNTIFS('HSKG detail'!$A:$A,$A9,'HSKG detail'!$C:$C,"&lt;"&amp;$AE$2)</f>
        <v>2</v>
      </c>
      <c r="T9" s="10">
        <f>COUNTIFS('HSKG detail'!$A:$A,$A9,'HSKG detail'!$C:$C,"&lt;"&amp;$AE$3)</f>
        <v>2</v>
      </c>
      <c r="U9" s="12">
        <f>+Housekeeping_sample[[#This Row],[Hkpg median]]*Housekeeping_sample[[#This Row],[Hkpg Hrsn]]</f>
        <v>46950</v>
      </c>
      <c r="V9" s="12">
        <f>+Housekeeping_sample[[#This Row],[Hkpg average]]*Housekeeping_sample[[#This Row],[Hkpg Hrsn]]</f>
        <v>46950</v>
      </c>
      <c r="W9" s="14">
        <f>Housekeeping_sample[[#This Row],[Est median wage cost ]]/Housekeeping_sample[[#This Row],[Costs Rate Estimator]]</f>
        <v>1.1409200262448058</v>
      </c>
      <c r="X9" s="14">
        <f>Housekeeping_sample[[#This Row],[Est average wage cost]]/Housekeeping_sample[[#This Row],[Costs Rate Estimator]]</f>
        <v>1.1409200262448058</v>
      </c>
      <c r="Y9" s="14">
        <f>+Housekeeping_sample[[#This Row],[Hkpg min]]/Housekeeping_sample[[#This Row],[Hkpg median]]</f>
        <v>0.8666666666666667</v>
      </c>
      <c r="Z9" s="14">
        <f>+Housekeeping_sample[[#This Row],[Hkpg max]]/Housekeeping_sample[[#This Row],[Hkpg median]]</f>
        <v>1.1333333333333333</v>
      </c>
      <c r="AA9" s="10">
        <f>VLOOKUP(A9,Summary!$1:$1048576,2,FALSE)</f>
        <v>2</v>
      </c>
      <c r="AD9" s="15" t="s">
        <v>85</v>
      </c>
      <c r="AE9" s="14">
        <f>+Housekeeping_sample[[#Totals],[Below Floor]]/Housekeeping_sample[[#Totals],[Hkpg count Per Data Sample]]</f>
        <v>0.99822695035460995</v>
      </c>
    </row>
    <row r="10" spans="1:32" x14ac:dyDescent="0.55000000000000004">
      <c r="A10" s="10">
        <v>658</v>
      </c>
      <c r="B10" s="10" t="s">
        <v>54</v>
      </c>
      <c r="C10" s="10">
        <f>VLOOKUP($A10,'SAS Data'!$1:$1048576,MATCH(C$1,'SAS Data'!$3:$3,0),FALSE)</f>
        <v>2</v>
      </c>
      <c r="D10" s="10">
        <f>VLOOKUP($A10,'SAS Data'!$1:$1048576,MATCH(D$1,'SAS Data'!$3:$3,0),FALSE)</f>
        <v>3</v>
      </c>
      <c r="E10" s="10">
        <f t="shared" si="1"/>
        <v>5</v>
      </c>
      <c r="F10" s="11">
        <f>VLOOKUP($A10,'SAS Data'!$1:$1048576,MATCH(F$1,'SAS Data'!$3:$3,0),FALSE)</f>
        <v>16.814165807686646</v>
      </c>
      <c r="G10" s="12">
        <f>VLOOKUP($A10,'SAS Data'!$1:$1048576,MATCH(G$1,'SAS Data'!$3:$3,0),FALSE)</f>
        <v>6791</v>
      </c>
      <c r="H10" s="12">
        <f>+Housekeeping_sample[[#This Row],[Hkpg Cph]]*Housekeeping_sample[[#This Row],[Hkpg Hrsn]]</f>
        <v>114185.00000000001</v>
      </c>
      <c r="I10" s="12">
        <f>VLOOKUP(Housekeeping_sample[[#This Row],[Random ID]],'Estimator data 120523'!$A:$H,8,FALSE)</f>
        <v>90623</v>
      </c>
      <c r="J10" s="11">
        <f>+Housekeeping_sample[[#This Row],[Costs Rate Estimator]]/Housekeeping_sample[[#This Row],[Hkpg Hrsn]]</f>
        <v>13.344573700485936</v>
      </c>
      <c r="K10" s="10">
        <f>COUNTIF('HSKG detail'!A:A,A10)</f>
        <v>4</v>
      </c>
      <c r="L10" s="13">
        <v>12.8</v>
      </c>
      <c r="M10" s="13">
        <v>13.36</v>
      </c>
      <c r="N10" s="13">
        <v>12.955</v>
      </c>
      <c r="O10" s="13">
        <v>13.017499999999998</v>
      </c>
      <c r="P10" s="10">
        <f>COUNTIFS('HSKG detail'!$A:$A,$A10,'HSKG detail'!$C:$C,"&lt;"&amp;N10)</f>
        <v>2</v>
      </c>
      <c r="Q10" s="10">
        <f>COUNTIFS('HSKG detail'!$A:$A,$A10,'HSKG detail'!$C:$C,"&lt;"&amp;O10)</f>
        <v>2</v>
      </c>
      <c r="R10" s="10">
        <f>COUNTIFS('HSKG detail'!$A:$A,$A10,'HSKG detail'!$C:$C,"&lt;"&amp;$AE$1)</f>
        <v>4</v>
      </c>
      <c r="S10" s="10">
        <f>COUNTIFS('HSKG detail'!$A:$A,$A10,'HSKG detail'!$C:$C,"&lt;"&amp;$AE$2)</f>
        <v>4</v>
      </c>
      <c r="T10" s="10">
        <f>COUNTIFS('HSKG detail'!$A:$A,$A10,'HSKG detail'!$C:$C,"&lt;"&amp;$AE$3)</f>
        <v>4</v>
      </c>
      <c r="U10" s="12">
        <f>+Housekeeping_sample[[#This Row],[Hkpg median]]*Housekeeping_sample[[#This Row],[Hkpg Hrsn]]</f>
        <v>87977.404999999999</v>
      </c>
      <c r="V10" s="12">
        <f>+Housekeeping_sample[[#This Row],[Hkpg average]]*Housekeeping_sample[[#This Row],[Hkpg Hrsn]]</f>
        <v>88401.842499999984</v>
      </c>
      <c r="W10" s="14">
        <f>Housekeeping_sample[[#This Row],[Est median wage cost ]]/Housekeeping_sample[[#This Row],[Costs Rate Estimator]]</f>
        <v>0.97080658331770076</v>
      </c>
      <c r="X10" s="14">
        <f>Housekeeping_sample[[#This Row],[Est average wage cost]]/Housekeeping_sample[[#This Row],[Costs Rate Estimator]]</f>
        <v>0.97549013495470227</v>
      </c>
      <c r="Y10" s="14">
        <f>+Housekeeping_sample[[#This Row],[Hkpg min]]/Housekeeping_sample[[#This Row],[Hkpg median]]</f>
        <v>0.98803550752605174</v>
      </c>
      <c r="Z10" s="14">
        <f>+Housekeeping_sample[[#This Row],[Hkpg max]]/Housekeeping_sample[[#This Row],[Hkpg median]]</f>
        <v>1.0312620609803165</v>
      </c>
      <c r="AA10" s="10">
        <f>VLOOKUP(A10,Summary!$1:$1048576,2,FALSE)</f>
        <v>1</v>
      </c>
      <c r="AD10" s="15" t="s">
        <v>86</v>
      </c>
      <c r="AE10" s="14">
        <f>+Housekeeping_sample[[#Totals],[Below weighted average median wage]]/Housekeeping_sample[[#Totals],[Hkpg count Per Data Sample]]</f>
        <v>0.56737588652482274</v>
      </c>
    </row>
    <row r="11" spans="1:32" x14ac:dyDescent="0.55000000000000004">
      <c r="A11" s="10">
        <v>203</v>
      </c>
      <c r="B11" s="10" t="s">
        <v>54</v>
      </c>
      <c r="C11" s="10">
        <f>VLOOKUP($A11,'SAS Data'!$1:$1048576,MATCH(C$1,'SAS Data'!$3:$3,0),FALSE)</f>
        <v>0</v>
      </c>
      <c r="D11" s="10">
        <f>VLOOKUP($A11,'SAS Data'!$1:$1048576,MATCH(D$1,'SAS Data'!$3:$3,0),FALSE)</f>
        <v>0</v>
      </c>
      <c r="E11" s="10">
        <f t="shared" si="1"/>
        <v>0</v>
      </c>
      <c r="F11" s="11">
        <f>VLOOKUP($A11,'SAS Data'!$1:$1048576,MATCH(F$1,'SAS Data'!$3:$3,0),FALSE)</f>
        <v>12.384450402144772</v>
      </c>
      <c r="G11" s="12">
        <f>VLOOKUP($A11,'SAS Data'!$1:$1048576,MATCH(G$1,'SAS Data'!$3:$3,0),FALSE)</f>
        <v>1865</v>
      </c>
      <c r="H11" s="12">
        <f>+Housekeeping_sample[[#This Row],[Hkpg Cph]]*Housekeeping_sample[[#This Row],[Hkpg Hrsn]]</f>
        <v>23097</v>
      </c>
      <c r="I11" s="12">
        <f>VLOOKUP(Housekeeping_sample[[#This Row],[Random ID]],'Estimator data 120523'!$A:$H,8,FALSE)</f>
        <v>25139</v>
      </c>
      <c r="J11" s="11">
        <f>+Housekeeping_sample[[#This Row],[Costs Rate Estimator]]/Housekeeping_sample[[#This Row],[Hkpg Hrsn]]</f>
        <v>13.479356568364611</v>
      </c>
      <c r="K11" s="10">
        <f>COUNTIF('HSKG detail'!A:A,A11)</f>
        <v>2</v>
      </c>
      <c r="L11" s="13">
        <v>15.14</v>
      </c>
      <c r="M11" s="13">
        <v>15.48</v>
      </c>
      <c r="N11" s="13">
        <v>15.31</v>
      </c>
      <c r="O11" s="13">
        <v>15.31</v>
      </c>
      <c r="P11" s="10">
        <f>COUNTIFS('HSKG detail'!$A:$A,$A11,'HSKG detail'!$C:$C,"&lt;"&amp;N11)</f>
        <v>1</v>
      </c>
      <c r="Q11" s="10">
        <f>COUNTIFS('HSKG detail'!$A:$A,$A11,'HSKG detail'!$C:$C,"&lt;"&amp;O11)</f>
        <v>1</v>
      </c>
      <c r="R11" s="10">
        <f>COUNTIFS('HSKG detail'!$A:$A,$A11,'HSKG detail'!$C:$C,"&lt;"&amp;$AE$1)</f>
        <v>2</v>
      </c>
      <c r="S11" s="10">
        <f>COUNTIFS('HSKG detail'!$A:$A,$A11,'HSKG detail'!$C:$C,"&lt;"&amp;$AE$2)</f>
        <v>2</v>
      </c>
      <c r="T11" s="10">
        <f>COUNTIFS('HSKG detail'!$A:$A,$A11,'HSKG detail'!$C:$C,"&lt;"&amp;$AE$3)</f>
        <v>2</v>
      </c>
      <c r="U11" s="12">
        <f>+Housekeeping_sample[[#This Row],[Hkpg median]]*Housekeeping_sample[[#This Row],[Hkpg Hrsn]]</f>
        <v>28553.15</v>
      </c>
      <c r="V11" s="12">
        <f>+Housekeeping_sample[[#This Row],[Hkpg average]]*Housekeeping_sample[[#This Row],[Hkpg Hrsn]]</f>
        <v>28553.15</v>
      </c>
      <c r="W11" s="14">
        <f>Housekeeping_sample[[#This Row],[Est median wage cost ]]/Housekeeping_sample[[#This Row],[Costs Rate Estimator]]</f>
        <v>1.1358108914435738</v>
      </c>
      <c r="X11" s="14">
        <f>Housekeeping_sample[[#This Row],[Est average wage cost]]/Housekeeping_sample[[#This Row],[Costs Rate Estimator]]</f>
        <v>1.1358108914435738</v>
      </c>
      <c r="Y11" s="14">
        <f>+Housekeeping_sample[[#This Row],[Hkpg min]]/Housekeeping_sample[[#This Row],[Hkpg median]]</f>
        <v>0.98889614630960154</v>
      </c>
      <c r="Z11" s="14">
        <f>+Housekeeping_sample[[#This Row],[Hkpg max]]/Housekeeping_sample[[#This Row],[Hkpg median]]</f>
        <v>1.0111038536903985</v>
      </c>
      <c r="AA11" s="10">
        <f>VLOOKUP(A11,Summary!$1:$1048576,2,FALSE)</f>
        <v>2</v>
      </c>
      <c r="AD11" s="15" t="s">
        <v>87</v>
      </c>
      <c r="AE11" s="14">
        <f>+Housekeeping_sample[[#Totals],[Below weighted average, average wage]]/Housekeeping_sample[[#Totals],[Hkpg count Per Data Sample]]</f>
        <v>0.58510638297872342</v>
      </c>
    </row>
    <row r="12" spans="1:32" x14ac:dyDescent="0.55000000000000004">
      <c r="A12" s="10">
        <v>783</v>
      </c>
      <c r="B12" s="10" t="s">
        <v>54</v>
      </c>
      <c r="C12" s="10">
        <f>VLOOKUP($A12,'SAS Data'!$1:$1048576,MATCH(C$1,'SAS Data'!$3:$3,0),FALSE)</f>
        <v>3</v>
      </c>
      <c r="D12" s="10">
        <f>VLOOKUP($A12,'SAS Data'!$1:$1048576,MATCH(D$1,'SAS Data'!$3:$3,0),FALSE)</f>
        <v>6</v>
      </c>
      <c r="E12" s="10">
        <f t="shared" si="1"/>
        <v>9</v>
      </c>
      <c r="F12" s="11">
        <f>VLOOKUP($A12,'SAS Data'!$1:$1048576,MATCH(F$1,'SAS Data'!$3:$3,0),FALSE)</f>
        <v>13.501963935011604</v>
      </c>
      <c r="G12" s="12">
        <f>VLOOKUP($A12,'SAS Data'!$1:$1048576,MATCH(G$1,'SAS Data'!$3:$3,0),FALSE)</f>
        <v>11202</v>
      </c>
      <c r="H12" s="12">
        <f>+Housekeeping_sample[[#This Row],[Hkpg Cph]]*Housekeeping_sample[[#This Row],[Hkpg Hrsn]]</f>
        <v>151249</v>
      </c>
      <c r="I12" s="12">
        <f>VLOOKUP(Housekeeping_sample[[#This Row],[Random ID]],'Estimator data 120523'!$A:$H,8,FALSE)</f>
        <v>151329</v>
      </c>
      <c r="J12" s="11">
        <f>+Housekeeping_sample[[#This Row],[Costs Rate Estimator]]/Housekeeping_sample[[#This Row],[Hkpg Hrsn]]</f>
        <v>13.509105516871987</v>
      </c>
      <c r="K12" s="10">
        <f>COUNTIF('HSKG detail'!A:A,A12)</f>
        <v>5</v>
      </c>
      <c r="L12" s="13">
        <v>12.587300000000001</v>
      </c>
      <c r="M12" s="13">
        <v>16.739999999999998</v>
      </c>
      <c r="N12" s="13">
        <v>12.91</v>
      </c>
      <c r="O12" s="13">
        <v>14.314360000000002</v>
      </c>
      <c r="P12" s="10">
        <f>COUNTIFS('HSKG detail'!$A:$A,$A12,'HSKG detail'!$C:$C,"&lt;"&amp;N12)</f>
        <v>2</v>
      </c>
      <c r="Q12" s="10">
        <f>COUNTIFS('HSKG detail'!$A:$A,$A12,'HSKG detail'!$C:$C,"&lt;"&amp;O12)</f>
        <v>3</v>
      </c>
      <c r="R12" s="10">
        <f>COUNTIFS('HSKG detail'!$A:$A,$A12,'HSKG detail'!$C:$C,"&lt;"&amp;$AE$1)</f>
        <v>5</v>
      </c>
      <c r="S12" s="10">
        <f>COUNTIFS('HSKG detail'!$A:$A,$A12,'HSKG detail'!$C:$C,"&lt;"&amp;$AE$2)</f>
        <v>5</v>
      </c>
      <c r="T12" s="10">
        <f>COUNTIFS('HSKG detail'!$A:$A,$A12,'HSKG detail'!$C:$C,"&lt;"&amp;$AE$3)</f>
        <v>5</v>
      </c>
      <c r="U12" s="12">
        <f>+Housekeeping_sample[[#This Row],[Hkpg median]]*Housekeeping_sample[[#This Row],[Hkpg Hrsn]]</f>
        <v>144617.82</v>
      </c>
      <c r="V12" s="12">
        <f>+Housekeeping_sample[[#This Row],[Hkpg average]]*Housekeeping_sample[[#This Row],[Hkpg Hrsn]]</f>
        <v>160349.46072000003</v>
      </c>
      <c r="W12" s="14">
        <f>Housekeeping_sample[[#This Row],[Est median wage cost ]]/Housekeeping_sample[[#This Row],[Costs Rate Estimator]]</f>
        <v>0.95565172571020762</v>
      </c>
      <c r="X12" s="14">
        <f>Housekeeping_sample[[#This Row],[Est average wage cost]]/Housekeeping_sample[[#This Row],[Costs Rate Estimator]]</f>
        <v>1.059608275479254</v>
      </c>
      <c r="Y12" s="14">
        <f>+Housekeeping_sample[[#This Row],[Hkpg min]]/Housekeeping_sample[[#This Row],[Hkpg median]]</f>
        <v>0.97500387296669255</v>
      </c>
      <c r="Z12" s="14">
        <f>+Housekeeping_sample[[#This Row],[Hkpg max]]/Housekeeping_sample[[#This Row],[Hkpg median]]</f>
        <v>1.2966692486444615</v>
      </c>
      <c r="AA12" s="10">
        <f>VLOOKUP(A12,Summary!$1:$1048576,2,FALSE)</f>
        <v>2</v>
      </c>
    </row>
    <row r="13" spans="1:32" x14ac:dyDescent="0.55000000000000004">
      <c r="A13" s="10">
        <v>589</v>
      </c>
      <c r="B13" s="10" t="s">
        <v>54</v>
      </c>
      <c r="C13" s="10">
        <f>VLOOKUP($A13,'SAS Data'!$1:$1048576,MATCH(C$1,'SAS Data'!$3:$3,0),FALSE)</f>
        <v>4</v>
      </c>
      <c r="D13" s="10">
        <f>VLOOKUP($A13,'SAS Data'!$1:$1048576,MATCH(D$1,'SAS Data'!$3:$3,0),FALSE)</f>
        <v>1</v>
      </c>
      <c r="E13" s="10">
        <f t="shared" si="1"/>
        <v>5</v>
      </c>
      <c r="F13" s="11">
        <f>VLOOKUP($A13,'SAS Data'!$1:$1048576,MATCH(F$1,'SAS Data'!$3:$3,0),FALSE)</f>
        <v>13.562712344280861</v>
      </c>
      <c r="G13" s="12">
        <f>VLOOKUP($A13,'SAS Data'!$1:$1048576,MATCH(G$1,'SAS Data'!$3:$3,0),FALSE)</f>
        <v>7064</v>
      </c>
      <c r="H13" s="12">
        <f>+Housekeeping_sample[[#This Row],[Hkpg Cph]]*Housekeeping_sample[[#This Row],[Hkpg Hrsn]]</f>
        <v>95807</v>
      </c>
      <c r="I13" s="12">
        <f>VLOOKUP(Housekeeping_sample[[#This Row],[Random ID]],'Estimator data 120523'!$A:$H,8,FALSE)</f>
        <v>95807</v>
      </c>
      <c r="J13" s="11">
        <f>+Housekeeping_sample[[#This Row],[Costs Rate Estimator]]/Housekeeping_sample[[#This Row],[Hkpg Hrsn]]</f>
        <v>13.562712344280861</v>
      </c>
      <c r="K13" s="10">
        <f>COUNTIF('HSKG detail'!A:A,A13)</f>
        <v>5</v>
      </c>
      <c r="L13" s="13">
        <v>12</v>
      </c>
      <c r="M13" s="13">
        <v>14.1</v>
      </c>
      <c r="N13" s="13">
        <v>14</v>
      </c>
      <c r="O13" s="13">
        <v>13.24</v>
      </c>
      <c r="P13" s="10">
        <f>COUNTIFS('HSKG detail'!$A:$A,$A13,'HSKG detail'!$C:$C,"&lt;"&amp;N13)</f>
        <v>2</v>
      </c>
      <c r="Q13" s="10">
        <f>COUNTIFS('HSKG detail'!$A:$A,$A13,'HSKG detail'!$C:$C,"&lt;"&amp;O13)</f>
        <v>2</v>
      </c>
      <c r="R13" s="10">
        <f>COUNTIFS('HSKG detail'!$A:$A,$A13,'HSKG detail'!$C:$C,"&lt;"&amp;$AE$1)</f>
        <v>5</v>
      </c>
      <c r="S13" s="10">
        <f>COUNTIFS('HSKG detail'!$A:$A,$A13,'HSKG detail'!$C:$C,"&lt;"&amp;$AE$2)</f>
        <v>5</v>
      </c>
      <c r="T13" s="10">
        <f>COUNTIFS('HSKG detail'!$A:$A,$A13,'HSKG detail'!$C:$C,"&lt;"&amp;$AE$3)</f>
        <v>5</v>
      </c>
      <c r="U13" s="12">
        <f>+Housekeeping_sample[[#This Row],[Hkpg median]]*Housekeeping_sample[[#This Row],[Hkpg Hrsn]]</f>
        <v>98896</v>
      </c>
      <c r="V13" s="12">
        <f>+Housekeeping_sample[[#This Row],[Hkpg average]]*Housekeeping_sample[[#This Row],[Hkpg Hrsn]]</f>
        <v>93527.360000000001</v>
      </c>
      <c r="W13" s="14">
        <f>Housekeeping_sample[[#This Row],[Est median wage cost ]]/Housekeeping_sample[[#This Row],[Costs Rate Estimator]]</f>
        <v>1.0322419029924745</v>
      </c>
      <c r="X13" s="14">
        <f>Housekeeping_sample[[#This Row],[Est average wage cost]]/Housekeeping_sample[[#This Row],[Costs Rate Estimator]]</f>
        <v>0.97620591397288303</v>
      </c>
      <c r="Y13" s="14">
        <f>+Housekeeping_sample[[#This Row],[Hkpg min]]/Housekeeping_sample[[#This Row],[Hkpg median]]</f>
        <v>0.8571428571428571</v>
      </c>
      <c r="Z13" s="14">
        <f>+Housekeeping_sample[[#This Row],[Hkpg max]]/Housekeeping_sample[[#This Row],[Hkpg median]]</f>
        <v>1.0071428571428571</v>
      </c>
      <c r="AA13" s="10">
        <f>VLOOKUP(A13,Summary!$1:$1048576,2,FALSE)</f>
        <v>2</v>
      </c>
    </row>
    <row r="14" spans="1:32" x14ac:dyDescent="0.55000000000000004">
      <c r="A14" s="10">
        <v>623</v>
      </c>
      <c r="B14" s="10" t="s">
        <v>54</v>
      </c>
      <c r="C14" s="10">
        <f>VLOOKUP($A14,'SAS Data'!$1:$1048576,MATCH(C$1,'SAS Data'!$3:$3,0),FALSE)</f>
        <v>2</v>
      </c>
      <c r="D14" s="10">
        <f>VLOOKUP($A14,'SAS Data'!$1:$1048576,MATCH(D$1,'SAS Data'!$3:$3,0),FALSE)</f>
        <v>0</v>
      </c>
      <c r="E14" s="10">
        <f t="shared" si="1"/>
        <v>2</v>
      </c>
      <c r="F14" s="11">
        <f>VLOOKUP($A14,'SAS Data'!$1:$1048576,MATCH(F$1,'SAS Data'!$3:$3,0),FALSE)</f>
        <v>14.416957838341485</v>
      </c>
      <c r="G14" s="12">
        <f>VLOOKUP($A14,'SAS Data'!$1:$1048576,MATCH(G$1,'SAS Data'!$3:$3,0),FALSE)</f>
        <v>4293</v>
      </c>
      <c r="H14" s="12">
        <f>+Housekeeping_sample[[#This Row],[Hkpg Cph]]*Housekeeping_sample[[#This Row],[Hkpg Hrsn]]</f>
        <v>61891.999999999993</v>
      </c>
      <c r="I14" s="12">
        <f>VLOOKUP(Housekeeping_sample[[#This Row],[Random ID]],'Estimator data 120523'!$A:$H,8,FALSE)</f>
        <v>61892</v>
      </c>
      <c r="J14" s="11">
        <f>+Housekeeping_sample[[#This Row],[Costs Rate Estimator]]/Housekeeping_sample[[#This Row],[Hkpg Hrsn]]</f>
        <v>14.416957838341487</v>
      </c>
      <c r="K14" s="10">
        <f>COUNTIF('HSKG detail'!A:A,A14)</f>
        <v>3</v>
      </c>
      <c r="L14" s="13">
        <v>14.28</v>
      </c>
      <c r="M14" s="13">
        <v>14.68</v>
      </c>
      <c r="N14" s="13">
        <v>14.28</v>
      </c>
      <c r="O14" s="13">
        <v>14.413333333333332</v>
      </c>
      <c r="P14" s="10">
        <f>COUNTIFS('HSKG detail'!$A:$A,$A14,'HSKG detail'!$C:$C,"&lt;"&amp;N14)</f>
        <v>0</v>
      </c>
      <c r="Q14" s="10">
        <f>COUNTIFS('HSKG detail'!$A:$A,$A14,'HSKG detail'!$C:$C,"&lt;"&amp;O14)</f>
        <v>2</v>
      </c>
      <c r="R14" s="10">
        <f>COUNTIFS('HSKG detail'!$A:$A,$A14,'HSKG detail'!$C:$C,"&lt;"&amp;$AE$1)</f>
        <v>3</v>
      </c>
      <c r="S14" s="10">
        <f>COUNTIFS('HSKG detail'!$A:$A,$A14,'HSKG detail'!$C:$C,"&lt;"&amp;$AE$2)</f>
        <v>3</v>
      </c>
      <c r="T14" s="10">
        <f>COUNTIFS('HSKG detail'!$A:$A,$A14,'HSKG detail'!$C:$C,"&lt;"&amp;$AE$3)</f>
        <v>3</v>
      </c>
      <c r="U14" s="12">
        <f>+Housekeeping_sample[[#This Row],[Hkpg median]]*Housekeeping_sample[[#This Row],[Hkpg Hrsn]]</f>
        <v>61304.04</v>
      </c>
      <c r="V14" s="12">
        <f>+Housekeeping_sample[[#This Row],[Hkpg average]]*Housekeeping_sample[[#This Row],[Hkpg Hrsn]]</f>
        <v>61876.439999999995</v>
      </c>
      <c r="W14" s="14">
        <f>Housekeeping_sample[[#This Row],[Est median wage cost ]]/Housekeeping_sample[[#This Row],[Costs Rate Estimator]]</f>
        <v>0.99050022620047828</v>
      </c>
      <c r="X14" s="14">
        <f>Housekeeping_sample[[#This Row],[Est average wage cost]]/Housekeeping_sample[[#This Row],[Costs Rate Estimator]]</f>
        <v>0.99974859432559937</v>
      </c>
      <c r="Y14" s="14">
        <f>+Housekeeping_sample[[#This Row],[Hkpg min]]/Housekeeping_sample[[#This Row],[Hkpg median]]</f>
        <v>1</v>
      </c>
      <c r="Z14" s="14">
        <f>+Housekeeping_sample[[#This Row],[Hkpg max]]/Housekeeping_sample[[#This Row],[Hkpg median]]</f>
        <v>1.0280112044817928</v>
      </c>
      <c r="AA14" s="10">
        <f>VLOOKUP(A14,Summary!$1:$1048576,2,FALSE)</f>
        <v>3</v>
      </c>
    </row>
    <row r="15" spans="1:32" x14ac:dyDescent="0.55000000000000004">
      <c r="A15" s="10">
        <v>486</v>
      </c>
      <c r="B15" s="10" t="s">
        <v>54</v>
      </c>
      <c r="C15" s="10">
        <f>VLOOKUP($A15,'SAS Data'!$1:$1048576,MATCH(C$1,'SAS Data'!$3:$3,0),FALSE)</f>
        <v>11</v>
      </c>
      <c r="D15" s="10">
        <f>VLOOKUP($A15,'SAS Data'!$1:$1048576,MATCH(D$1,'SAS Data'!$3:$3,0),FALSE)</f>
        <v>0</v>
      </c>
      <c r="E15" s="10">
        <f t="shared" si="1"/>
        <v>11</v>
      </c>
      <c r="F15" s="11">
        <f>VLOOKUP($A15,'SAS Data'!$1:$1048576,MATCH(F$1,'SAS Data'!$3:$3,0),FALSE)</f>
        <v>14.642396505096732</v>
      </c>
      <c r="G15" s="12">
        <f>VLOOKUP($A15,'SAS Data'!$1:$1048576,MATCH(G$1,'SAS Data'!$3:$3,0),FALSE)</f>
        <v>4807</v>
      </c>
      <c r="H15" s="12">
        <f>+Housekeeping_sample[[#This Row],[Hkpg Cph]]*Housekeeping_sample[[#This Row],[Hkpg Hrsn]]</f>
        <v>70385.999999999985</v>
      </c>
      <c r="I15" s="12">
        <f>VLOOKUP(Housekeeping_sample[[#This Row],[Random ID]],'Estimator data 120523'!$A:$H,8,FALSE)</f>
        <v>70386</v>
      </c>
      <c r="J15" s="11">
        <f>+Housekeeping_sample[[#This Row],[Costs Rate Estimator]]/Housekeeping_sample[[#This Row],[Hkpg Hrsn]]</f>
        <v>14.642396505096734</v>
      </c>
      <c r="K15" s="10">
        <f>COUNTIF('HSKG detail'!A:A,A15)</f>
        <v>2</v>
      </c>
      <c r="L15" s="13">
        <v>15.71</v>
      </c>
      <c r="M15" s="13">
        <v>17.95</v>
      </c>
      <c r="N15" s="13">
        <v>16.755000000000003</v>
      </c>
      <c r="O15" s="13">
        <v>16.948333333333334</v>
      </c>
      <c r="P15" s="10">
        <f>COUNTIFS('HSKG detail'!$A:$A,$A15,'HSKG detail'!$C:$C,"&lt;"&amp;N15)</f>
        <v>0</v>
      </c>
      <c r="Q15" s="10">
        <f>COUNTIFS('HSKG detail'!$A:$A,$A15,'HSKG detail'!$C:$C,"&lt;"&amp;O15)</f>
        <v>0</v>
      </c>
      <c r="R15" s="10">
        <f>COUNTIFS('HSKG detail'!$A:$A,$A15,'HSKG detail'!$C:$C,"&lt;"&amp;$AE$1)</f>
        <v>2</v>
      </c>
      <c r="S15" s="10">
        <f>COUNTIFS('HSKG detail'!$A:$A,$A15,'HSKG detail'!$C:$C,"&lt;"&amp;$AE$2)</f>
        <v>0</v>
      </c>
      <c r="T15" s="10">
        <f>COUNTIFS('HSKG detail'!$A:$A,$A15,'HSKG detail'!$C:$C,"&lt;"&amp;$AE$3)</f>
        <v>0</v>
      </c>
      <c r="U15" s="12">
        <f>+Housekeeping_sample[[#This Row],[Hkpg median]]*Housekeeping_sample[[#This Row],[Hkpg Hrsn]]</f>
        <v>80541.285000000018</v>
      </c>
      <c r="V15" s="12">
        <f>+Housekeeping_sample[[#This Row],[Hkpg average]]*Housekeeping_sample[[#This Row],[Hkpg Hrsn]]</f>
        <v>81470.638333333336</v>
      </c>
      <c r="W15" s="14">
        <f>Housekeeping_sample[[#This Row],[Est median wage cost ]]/Housekeeping_sample[[#This Row],[Costs Rate Estimator]]</f>
        <v>1.1442798994118151</v>
      </c>
      <c r="X15" s="14">
        <f>Housekeeping_sample[[#This Row],[Est average wage cost]]/Housekeeping_sample[[#This Row],[Costs Rate Estimator]]</f>
        <v>1.1574835668077932</v>
      </c>
      <c r="Y15" s="14">
        <f>+Housekeeping_sample[[#This Row],[Hkpg min]]/Housekeeping_sample[[#This Row],[Hkpg median]]</f>
        <v>0.93763055804237527</v>
      </c>
      <c r="Z15" s="14">
        <f>+Housekeeping_sample[[#This Row],[Hkpg max]]/Housekeeping_sample[[#This Row],[Hkpg median]]</f>
        <v>1.0713219934347953</v>
      </c>
      <c r="AA15" s="10">
        <f>VLOOKUP(A15,Summary!$1:$1048576,2,FALSE)</f>
        <v>3</v>
      </c>
    </row>
    <row r="16" spans="1:32" x14ac:dyDescent="0.55000000000000004">
      <c r="A16" s="10">
        <v>222</v>
      </c>
      <c r="B16" s="10" t="s">
        <v>54</v>
      </c>
      <c r="C16" s="10">
        <f>VLOOKUP($A16,'SAS Data'!$1:$1048576,MATCH(C$1,'SAS Data'!$3:$3,0),FALSE)</f>
        <v>1</v>
      </c>
      <c r="D16" s="10">
        <f>VLOOKUP($A16,'SAS Data'!$1:$1048576,MATCH(D$1,'SAS Data'!$3:$3,0),FALSE)</f>
        <v>1</v>
      </c>
      <c r="E16" s="10">
        <f t="shared" si="1"/>
        <v>2</v>
      </c>
      <c r="F16" s="11">
        <f>VLOOKUP($A16,'SAS Data'!$1:$1048576,MATCH(F$1,'SAS Data'!$3:$3,0),FALSE)</f>
        <v>14.114638447971782</v>
      </c>
      <c r="G16" s="12">
        <f>VLOOKUP($A16,'SAS Data'!$1:$1048576,MATCH(G$1,'SAS Data'!$3:$3,0),FALSE)</f>
        <v>2835</v>
      </c>
      <c r="H16" s="12">
        <f>+Housekeeping_sample[[#This Row],[Hkpg Cph]]*Housekeeping_sample[[#This Row],[Hkpg Hrsn]]</f>
        <v>40015</v>
      </c>
      <c r="I16" s="12">
        <f>VLOOKUP(Housekeeping_sample[[#This Row],[Random ID]],'Estimator data 120523'!$A:$H,8,FALSE)</f>
        <v>41593</v>
      </c>
      <c r="J16" s="11">
        <f>+Housekeeping_sample[[#This Row],[Costs Rate Estimator]]/Housekeeping_sample[[#This Row],[Hkpg Hrsn]]</f>
        <v>14.671252204585539</v>
      </c>
      <c r="K16" s="10">
        <f>COUNTIF('HSKG detail'!A:A,A16)</f>
        <v>2</v>
      </c>
      <c r="L16" s="13">
        <v>13.73</v>
      </c>
      <c r="M16" s="13">
        <v>13.76</v>
      </c>
      <c r="N16" s="13">
        <v>13.745000000000001</v>
      </c>
      <c r="O16" s="13">
        <v>13.745000000000001</v>
      </c>
      <c r="P16" s="10">
        <f>COUNTIFS('HSKG detail'!$A:$A,$A16,'HSKG detail'!$C:$C,"&lt;"&amp;N16)</f>
        <v>1</v>
      </c>
      <c r="Q16" s="10">
        <f>COUNTIFS('HSKG detail'!$A:$A,$A16,'HSKG detail'!$C:$C,"&lt;"&amp;O16)</f>
        <v>1</v>
      </c>
      <c r="R16" s="10">
        <f>COUNTIFS('HSKG detail'!$A:$A,$A16,'HSKG detail'!$C:$C,"&lt;"&amp;$AE$1)</f>
        <v>2</v>
      </c>
      <c r="S16" s="10">
        <f>COUNTIFS('HSKG detail'!$A:$A,$A16,'HSKG detail'!$C:$C,"&lt;"&amp;$AE$2)</f>
        <v>2</v>
      </c>
      <c r="T16" s="10">
        <f>COUNTIFS('HSKG detail'!$A:$A,$A16,'HSKG detail'!$C:$C,"&lt;"&amp;$AE$3)</f>
        <v>2</v>
      </c>
      <c r="U16" s="12">
        <f>+Housekeeping_sample[[#This Row],[Hkpg median]]*Housekeeping_sample[[#This Row],[Hkpg Hrsn]]</f>
        <v>38967.075000000004</v>
      </c>
      <c r="V16" s="12">
        <f>+Housekeeping_sample[[#This Row],[Hkpg average]]*Housekeeping_sample[[#This Row],[Hkpg Hrsn]]</f>
        <v>38967.075000000004</v>
      </c>
      <c r="W16" s="14">
        <f>Housekeeping_sample[[#This Row],[Est median wage cost ]]/Housekeeping_sample[[#This Row],[Costs Rate Estimator]]</f>
        <v>0.93686617940518846</v>
      </c>
      <c r="X16" s="14">
        <f>Housekeeping_sample[[#This Row],[Est average wage cost]]/Housekeeping_sample[[#This Row],[Costs Rate Estimator]]</f>
        <v>0.93686617940518846</v>
      </c>
      <c r="Y16" s="14">
        <f>+Housekeeping_sample[[#This Row],[Hkpg min]]/Housekeeping_sample[[#This Row],[Hkpg median]]</f>
        <v>0.99890869407057103</v>
      </c>
      <c r="Z16" s="14">
        <f>+Housekeeping_sample[[#This Row],[Hkpg max]]/Housekeeping_sample[[#This Row],[Hkpg median]]</f>
        <v>1.0010913059294289</v>
      </c>
      <c r="AA16" s="10">
        <f>VLOOKUP(A16,Summary!$1:$1048576,2,FALSE)</f>
        <v>3</v>
      </c>
    </row>
    <row r="17" spans="1:27" x14ac:dyDescent="0.55000000000000004">
      <c r="A17" s="10">
        <v>420</v>
      </c>
      <c r="B17" s="10" t="s">
        <v>54</v>
      </c>
      <c r="C17" s="10">
        <f>VLOOKUP($A17,'SAS Data'!$1:$1048576,MATCH(C$1,'SAS Data'!$3:$3,0),FALSE)</f>
        <v>1</v>
      </c>
      <c r="D17" s="10">
        <f>VLOOKUP($A17,'SAS Data'!$1:$1048576,MATCH(D$1,'SAS Data'!$3:$3,0),FALSE)</f>
        <v>5</v>
      </c>
      <c r="E17" s="10">
        <f t="shared" si="1"/>
        <v>6</v>
      </c>
      <c r="F17" s="11">
        <f>VLOOKUP($A17,'SAS Data'!$1:$1048576,MATCH(F$1,'SAS Data'!$3:$3,0),FALSE)</f>
        <v>14.932293697205976</v>
      </c>
      <c r="G17" s="12">
        <f>VLOOKUP($A17,'SAS Data'!$1:$1048576,MATCH(G$1,'SAS Data'!$3:$3,0),FALSE)</f>
        <v>7695</v>
      </c>
      <c r="H17" s="12">
        <f>+Housekeeping_sample[[#This Row],[Hkpg Cph]]*Housekeeping_sample[[#This Row],[Hkpg Hrsn]]</f>
        <v>114903.99999999999</v>
      </c>
      <c r="I17" s="12">
        <f>VLOOKUP(Housekeeping_sample[[#This Row],[Random ID]],'Estimator data 120523'!$A:$H,8,FALSE)</f>
        <v>114904</v>
      </c>
      <c r="J17" s="11">
        <f>+Housekeeping_sample[[#This Row],[Costs Rate Estimator]]/Housekeeping_sample[[#This Row],[Hkpg Hrsn]]</f>
        <v>14.932293697205978</v>
      </c>
      <c r="K17" s="10">
        <f>COUNTIF('HSKG detail'!A:A,A17)</f>
        <v>7</v>
      </c>
      <c r="L17" s="13">
        <v>12</v>
      </c>
      <c r="M17" s="13">
        <v>16</v>
      </c>
      <c r="N17" s="13">
        <v>14</v>
      </c>
      <c r="O17" s="13">
        <v>14.428571428571429</v>
      </c>
      <c r="P17" s="10">
        <f>COUNTIFS('HSKG detail'!$A:$A,$A17,'HSKG detail'!$C:$C,"&lt;"&amp;N17)</f>
        <v>1</v>
      </c>
      <c r="Q17" s="10">
        <f>COUNTIFS('HSKG detail'!$A:$A,$A17,'HSKG detail'!$C:$C,"&lt;"&amp;O17)</f>
        <v>4</v>
      </c>
      <c r="R17" s="10">
        <f>COUNTIFS('HSKG detail'!$A:$A,$A17,'HSKG detail'!$C:$C,"&lt;"&amp;$AE$1)</f>
        <v>7</v>
      </c>
      <c r="S17" s="10">
        <f>COUNTIFS('HSKG detail'!$A:$A,$A17,'HSKG detail'!$C:$C,"&lt;"&amp;$AE$2)</f>
        <v>7</v>
      </c>
      <c r="T17" s="10">
        <f>COUNTIFS('HSKG detail'!$A:$A,$A17,'HSKG detail'!$C:$C,"&lt;"&amp;$AE$3)</f>
        <v>7</v>
      </c>
      <c r="U17" s="12">
        <f>+Housekeeping_sample[[#This Row],[Hkpg median]]*Housekeeping_sample[[#This Row],[Hkpg Hrsn]]</f>
        <v>107730</v>
      </c>
      <c r="V17" s="12">
        <f>+Housekeeping_sample[[#This Row],[Hkpg average]]*Housekeeping_sample[[#This Row],[Hkpg Hrsn]]</f>
        <v>111027.85714285714</v>
      </c>
      <c r="W17" s="14">
        <f>Housekeeping_sample[[#This Row],[Est median wage cost ]]/Housekeeping_sample[[#This Row],[Costs Rate Estimator]]</f>
        <v>0.93756527187913385</v>
      </c>
      <c r="X17" s="14">
        <f>Housekeeping_sample[[#This Row],[Est average wage cost]]/Housekeeping_sample[[#This Row],[Costs Rate Estimator]]</f>
        <v>0.96626624958971963</v>
      </c>
      <c r="Y17" s="14">
        <f>+Housekeeping_sample[[#This Row],[Hkpg min]]/Housekeeping_sample[[#This Row],[Hkpg median]]</f>
        <v>0.8571428571428571</v>
      </c>
      <c r="Z17" s="14">
        <f>+Housekeeping_sample[[#This Row],[Hkpg max]]/Housekeeping_sample[[#This Row],[Hkpg median]]</f>
        <v>1.1428571428571428</v>
      </c>
      <c r="AA17" s="10">
        <f>VLOOKUP(A17,Summary!$1:$1048576,2,FALSE)</f>
        <v>1</v>
      </c>
    </row>
    <row r="18" spans="1:27" x14ac:dyDescent="0.55000000000000004">
      <c r="A18" s="10">
        <v>828</v>
      </c>
      <c r="B18" s="10" t="s">
        <v>54</v>
      </c>
      <c r="C18" s="10">
        <f>VLOOKUP($A18,'SAS Data'!$1:$1048576,MATCH(C$1,'SAS Data'!$3:$3,0),FALSE)</f>
        <v>0</v>
      </c>
      <c r="D18" s="10">
        <f>VLOOKUP($A18,'SAS Data'!$1:$1048576,MATCH(D$1,'SAS Data'!$3:$3,0),FALSE)</f>
        <v>0</v>
      </c>
      <c r="E18" s="10">
        <f t="shared" si="1"/>
        <v>0</v>
      </c>
      <c r="F18" s="11">
        <f>VLOOKUP($A18,'SAS Data'!$1:$1048576,MATCH(F$1,'SAS Data'!$3:$3,0),FALSE)</f>
        <v>0</v>
      </c>
      <c r="G18" s="12">
        <f>VLOOKUP($A18,'SAS Data'!$1:$1048576,MATCH(G$1,'SAS Data'!$3:$3,0),FALSE)</f>
        <v>8763</v>
      </c>
      <c r="H18" s="12">
        <f>+Housekeeping_sample[[#This Row],[Hkpg Cph]]*Housekeeping_sample[[#This Row],[Hkpg Hrsn]]</f>
        <v>0</v>
      </c>
      <c r="I18" s="12">
        <f>VLOOKUP(Housekeeping_sample[[#This Row],[Random ID]],'Estimator data 120523'!$A:$H,8,FALSE)</f>
        <v>132494.19202005159</v>
      </c>
      <c r="J18" s="11">
        <f>+Housekeeping_sample[[#This Row],[Costs Rate Estimator]]/Housekeeping_sample[[#This Row],[Hkpg Hrsn]]</f>
        <v>15.119729775197031</v>
      </c>
      <c r="K18" s="10">
        <f>COUNTIF('HSKG detail'!A:A,A18)</f>
        <v>10</v>
      </c>
      <c r="L18" s="13">
        <v>13.38</v>
      </c>
      <c r="M18" s="13">
        <v>18.989999999999998</v>
      </c>
      <c r="N18" s="13">
        <v>16.265000000000001</v>
      </c>
      <c r="O18" s="13">
        <v>16.244999999999997</v>
      </c>
      <c r="P18" s="10">
        <f>COUNTIFS('HSKG detail'!$A:$A,$A18,'HSKG detail'!$C:$C,"&lt;"&amp;N18)</f>
        <v>5</v>
      </c>
      <c r="Q18" s="10">
        <f>COUNTIFS('HSKG detail'!$A:$A,$A18,'HSKG detail'!$C:$C,"&lt;"&amp;O18)</f>
        <v>5</v>
      </c>
      <c r="R18" s="10">
        <f>COUNTIFS('HSKG detail'!$A:$A,$A18,'HSKG detail'!$C:$C,"&lt;"&amp;$AE$1)</f>
        <v>10</v>
      </c>
      <c r="S18" s="10">
        <f>COUNTIFS('HSKG detail'!$A:$A,$A18,'HSKG detail'!$C:$C,"&lt;"&amp;$AE$2)</f>
        <v>6</v>
      </c>
      <c r="T18" s="10">
        <f>COUNTIFS('HSKG detail'!$A:$A,$A18,'HSKG detail'!$C:$C,"&lt;"&amp;$AE$3)</f>
        <v>6</v>
      </c>
      <c r="U18" s="12">
        <f>+Housekeeping_sample[[#This Row],[Hkpg median]]*Housekeeping_sample[[#This Row],[Hkpg Hrsn]]</f>
        <v>142530.19500000001</v>
      </c>
      <c r="V18" s="12">
        <f>+Housekeeping_sample[[#This Row],[Hkpg average]]*Housekeeping_sample[[#This Row],[Hkpg Hrsn]]</f>
        <v>142354.93499999997</v>
      </c>
      <c r="W18" s="14">
        <f>Housekeeping_sample[[#This Row],[Est median wage cost ]]/Housekeeping_sample[[#This Row],[Costs Rate Estimator]]</f>
        <v>1.0757467389848272</v>
      </c>
      <c r="X18" s="14">
        <f>Housekeeping_sample[[#This Row],[Est average wage cost]]/Housekeeping_sample[[#This Row],[Costs Rate Estimator]]</f>
        <v>1.0744239640214273</v>
      </c>
      <c r="Y18" s="14">
        <f>+Housekeeping_sample[[#This Row],[Hkpg min]]/Housekeeping_sample[[#This Row],[Hkpg median]]</f>
        <v>0.82262526898247779</v>
      </c>
      <c r="Z18" s="14">
        <f>+Housekeeping_sample[[#This Row],[Hkpg max]]/Housekeeping_sample[[#This Row],[Hkpg median]]</f>
        <v>1.1675376575468797</v>
      </c>
      <c r="AA18" s="10">
        <f>VLOOKUP(A18,Summary!$1:$1048576,2,FALSE)</f>
        <v>3</v>
      </c>
    </row>
    <row r="19" spans="1:27" x14ac:dyDescent="0.55000000000000004">
      <c r="A19" s="10">
        <v>572</v>
      </c>
      <c r="B19" s="10" t="s">
        <v>54</v>
      </c>
      <c r="C19" s="10">
        <f>VLOOKUP($A19,'SAS Data'!$1:$1048576,MATCH(C$1,'SAS Data'!$3:$3,0),FALSE)</f>
        <v>2</v>
      </c>
      <c r="D19" s="10">
        <f>VLOOKUP($A19,'SAS Data'!$1:$1048576,MATCH(D$1,'SAS Data'!$3:$3,0),FALSE)</f>
        <v>2</v>
      </c>
      <c r="E19" s="10">
        <f t="shared" si="1"/>
        <v>4</v>
      </c>
      <c r="F19" s="11">
        <f>VLOOKUP($A19,'SAS Data'!$1:$1048576,MATCH(F$1,'SAS Data'!$3:$3,0),FALSE)</f>
        <v>17.2929231701773</v>
      </c>
      <c r="G19" s="12">
        <f>VLOOKUP($A19,'SAS Data'!$1:$1048576,MATCH(G$1,'SAS Data'!$3:$3,0),FALSE)</f>
        <v>6599</v>
      </c>
      <c r="H19" s="12">
        <f>+Housekeeping_sample[[#This Row],[Hkpg Cph]]*Housekeeping_sample[[#This Row],[Hkpg Hrsn]]</f>
        <v>114116</v>
      </c>
      <c r="I19" s="12">
        <f>VLOOKUP(Housekeeping_sample[[#This Row],[Random ID]],'Estimator data 120523'!$A:$H,8,FALSE)</f>
        <v>100332</v>
      </c>
      <c r="J19" s="11">
        <f>+Housekeeping_sample[[#This Row],[Costs Rate Estimator]]/Housekeeping_sample[[#This Row],[Hkpg Hrsn]]</f>
        <v>15.204121836641916</v>
      </c>
      <c r="K19" s="10">
        <f>COUNTIF('HSKG detail'!A:A,A19)</f>
        <v>4</v>
      </c>
      <c r="L19" s="13">
        <v>15</v>
      </c>
      <c r="M19" s="13">
        <v>15.61</v>
      </c>
      <c r="N19" s="13">
        <v>15.61</v>
      </c>
      <c r="O19" s="13">
        <v>15.4575</v>
      </c>
      <c r="P19" s="10">
        <f>COUNTIFS('HSKG detail'!$A:$A,$A19,'HSKG detail'!$C:$C,"&lt;"&amp;N19)</f>
        <v>1</v>
      </c>
      <c r="Q19" s="10">
        <f>COUNTIFS('HSKG detail'!$A:$A,$A19,'HSKG detail'!$C:$C,"&lt;"&amp;O19)</f>
        <v>1</v>
      </c>
      <c r="R19" s="10">
        <f>COUNTIFS('HSKG detail'!$A:$A,$A19,'HSKG detail'!$C:$C,"&lt;"&amp;$AE$1)</f>
        <v>4</v>
      </c>
      <c r="S19" s="10">
        <f>COUNTIFS('HSKG detail'!$A:$A,$A19,'HSKG detail'!$C:$C,"&lt;"&amp;$AE$2)</f>
        <v>4</v>
      </c>
      <c r="T19" s="10">
        <f>COUNTIFS('HSKG detail'!$A:$A,$A19,'HSKG detail'!$C:$C,"&lt;"&amp;$AE$3)</f>
        <v>4</v>
      </c>
      <c r="U19" s="12">
        <f>+Housekeeping_sample[[#This Row],[Hkpg median]]*Housekeeping_sample[[#This Row],[Hkpg Hrsn]]</f>
        <v>103010.39</v>
      </c>
      <c r="V19" s="12">
        <f>+Housekeeping_sample[[#This Row],[Hkpg average]]*Housekeeping_sample[[#This Row],[Hkpg Hrsn]]</f>
        <v>102004.0425</v>
      </c>
      <c r="W19" s="14">
        <f>Housekeeping_sample[[#This Row],[Est median wage cost ]]/Housekeeping_sample[[#This Row],[Costs Rate Estimator]]</f>
        <v>1.0266952716979627</v>
      </c>
      <c r="X19" s="14">
        <f>Housekeeping_sample[[#This Row],[Est average wage cost]]/Housekeeping_sample[[#This Row],[Costs Rate Estimator]]</f>
        <v>1.0166650968783637</v>
      </c>
      <c r="Y19" s="14">
        <f>+Housekeeping_sample[[#This Row],[Hkpg min]]/Housekeeping_sample[[#This Row],[Hkpg median]]</f>
        <v>0.96092248558616278</v>
      </c>
      <c r="Z19" s="14">
        <f>+Housekeeping_sample[[#This Row],[Hkpg max]]/Housekeeping_sample[[#This Row],[Hkpg median]]</f>
        <v>1</v>
      </c>
      <c r="AA19" s="10">
        <f>VLOOKUP(A19,Summary!$1:$1048576,2,FALSE)</f>
        <v>2</v>
      </c>
    </row>
    <row r="20" spans="1:27" x14ac:dyDescent="0.55000000000000004">
      <c r="A20" s="10">
        <v>206</v>
      </c>
      <c r="B20" s="10" t="s">
        <v>54</v>
      </c>
      <c r="C20" s="10">
        <f>VLOOKUP($A20,'SAS Data'!$1:$1048576,MATCH(C$1,'SAS Data'!$3:$3,0),FALSE)</f>
        <v>3</v>
      </c>
      <c r="D20" s="10">
        <f>VLOOKUP($A20,'SAS Data'!$1:$1048576,MATCH(D$1,'SAS Data'!$3:$3,0),FALSE)</f>
        <v>0</v>
      </c>
      <c r="E20" s="10">
        <f t="shared" si="1"/>
        <v>3</v>
      </c>
      <c r="F20" s="11">
        <f>VLOOKUP($A20,'SAS Data'!$1:$1048576,MATCH(F$1,'SAS Data'!$3:$3,0),FALSE)</f>
        <v>15.516856173947735</v>
      </c>
      <c r="G20" s="12">
        <f>VLOOKUP($A20,'SAS Data'!$1:$1048576,MATCH(G$1,'SAS Data'!$3:$3,0),FALSE)</f>
        <v>10026</v>
      </c>
      <c r="H20" s="12">
        <f>+Housekeeping_sample[[#This Row],[Hkpg Cph]]*Housekeeping_sample[[#This Row],[Hkpg Hrsn]]</f>
        <v>155572</v>
      </c>
      <c r="I20" s="12">
        <f>VLOOKUP(Housekeeping_sample[[#This Row],[Random ID]],'Estimator data 120523'!$A:$H,8,FALSE)</f>
        <v>152606</v>
      </c>
      <c r="J20" s="11">
        <f>+Housekeeping_sample[[#This Row],[Costs Rate Estimator]]/Housekeeping_sample[[#This Row],[Hkpg Hrsn]]</f>
        <v>15.221025334131259</v>
      </c>
      <c r="K20" s="10">
        <f>COUNTIF('HSKG detail'!A:A,A20)</f>
        <v>7</v>
      </c>
      <c r="L20" s="13">
        <v>14.65</v>
      </c>
      <c r="M20" s="13">
        <v>20</v>
      </c>
      <c r="N20" s="13">
        <v>16.82</v>
      </c>
      <c r="O20" s="13">
        <v>16.758571428571429</v>
      </c>
      <c r="P20" s="10">
        <f>COUNTIFS('HSKG detail'!$A:$A,$A20,'HSKG detail'!$C:$C,"&lt;"&amp;N20)</f>
        <v>2</v>
      </c>
      <c r="Q20" s="10">
        <f>COUNTIFS('HSKG detail'!$A:$A,$A20,'HSKG detail'!$C:$C,"&lt;"&amp;O20)</f>
        <v>2</v>
      </c>
      <c r="R20" s="10">
        <f>COUNTIFS('HSKG detail'!$A:$A,$A20,'HSKG detail'!$C:$C,"&lt;"&amp;$AE$1)</f>
        <v>7</v>
      </c>
      <c r="S20" s="10">
        <f>COUNTIFS('HSKG detail'!$A:$A,$A20,'HSKG detail'!$C:$C,"&lt;"&amp;$AE$2)</f>
        <v>5</v>
      </c>
      <c r="T20" s="10">
        <f>COUNTIFS('HSKG detail'!$A:$A,$A20,'HSKG detail'!$C:$C,"&lt;"&amp;$AE$3)</f>
        <v>6</v>
      </c>
      <c r="U20" s="12">
        <f>+Housekeeping_sample[[#This Row],[Hkpg median]]*Housekeeping_sample[[#This Row],[Hkpg Hrsn]]</f>
        <v>168637.32</v>
      </c>
      <c r="V20" s="12">
        <f>+Housekeeping_sample[[#This Row],[Hkpg average]]*Housekeeping_sample[[#This Row],[Hkpg Hrsn]]</f>
        <v>168021.43714285715</v>
      </c>
      <c r="W20" s="14">
        <f>Housekeeping_sample[[#This Row],[Est median wage cost ]]/Housekeeping_sample[[#This Row],[Costs Rate Estimator]]</f>
        <v>1.1050503912034915</v>
      </c>
      <c r="X20" s="14">
        <f>Housekeeping_sample[[#This Row],[Est average wage cost]]/Housekeeping_sample[[#This Row],[Costs Rate Estimator]]</f>
        <v>1.1010146202826701</v>
      </c>
      <c r="Y20" s="14">
        <f>+Housekeeping_sample[[#This Row],[Hkpg min]]/Housekeeping_sample[[#This Row],[Hkpg median]]</f>
        <v>0.87098692033293701</v>
      </c>
      <c r="Z20" s="14">
        <f>+Housekeeping_sample[[#This Row],[Hkpg max]]/Housekeeping_sample[[#This Row],[Hkpg median]]</f>
        <v>1.1890606420927468</v>
      </c>
      <c r="AA20" s="10">
        <f>VLOOKUP(A20,Summary!$1:$1048576,2,FALSE)</f>
        <v>2</v>
      </c>
    </row>
    <row r="21" spans="1:27" x14ac:dyDescent="0.55000000000000004">
      <c r="A21" s="10">
        <v>814</v>
      </c>
      <c r="B21" s="10" t="s">
        <v>54</v>
      </c>
      <c r="C21" s="10">
        <f>VLOOKUP($A21,'SAS Data'!$1:$1048576,MATCH(C$1,'SAS Data'!$3:$3,0),FALSE)</f>
        <v>5</v>
      </c>
      <c r="D21" s="10">
        <f>VLOOKUP($A21,'SAS Data'!$1:$1048576,MATCH(D$1,'SAS Data'!$3:$3,0),FALSE)</f>
        <v>0</v>
      </c>
      <c r="E21" s="10">
        <f t="shared" si="1"/>
        <v>5</v>
      </c>
      <c r="F21" s="11">
        <f>VLOOKUP($A21,'SAS Data'!$1:$1048576,MATCH(F$1,'SAS Data'!$3:$3,0),FALSE)</f>
        <v>15.474854040766157</v>
      </c>
      <c r="G21" s="12">
        <f>VLOOKUP($A21,'SAS Data'!$1:$1048576,MATCH(G$1,'SAS Data'!$3:$3,0),FALSE)</f>
        <v>9763</v>
      </c>
      <c r="H21" s="12">
        <f>+Housekeeping_sample[[#This Row],[Hkpg Cph]]*Housekeeping_sample[[#This Row],[Hkpg Hrsn]]</f>
        <v>151081</v>
      </c>
      <c r="I21" s="12">
        <f>VLOOKUP(Housekeeping_sample[[#This Row],[Random ID]],'Estimator data 120523'!$A:$H,8,FALSE)</f>
        <v>151081</v>
      </c>
      <c r="J21" s="11">
        <f>+Housekeeping_sample[[#This Row],[Costs Rate Estimator]]/Housekeeping_sample[[#This Row],[Hkpg Hrsn]]</f>
        <v>15.474854040766157</v>
      </c>
      <c r="K21" s="10">
        <f>COUNTIF('HSKG detail'!A:A,A21)</f>
        <v>7</v>
      </c>
      <c r="L21" s="13">
        <v>16.25</v>
      </c>
      <c r="M21" s="13">
        <v>18.45</v>
      </c>
      <c r="N21" s="13">
        <v>18.45</v>
      </c>
      <c r="O21" s="13">
        <v>18.13571428571429</v>
      </c>
      <c r="P21" s="10">
        <f>COUNTIFS('HSKG detail'!$A:$A,$A21,'HSKG detail'!$C:$C,"&lt;"&amp;N21)</f>
        <v>1</v>
      </c>
      <c r="Q21" s="10">
        <f>COUNTIFS('HSKG detail'!$A:$A,$A21,'HSKG detail'!$C:$C,"&lt;"&amp;O21)</f>
        <v>1</v>
      </c>
      <c r="R21" s="10">
        <f>COUNTIFS('HSKG detail'!$A:$A,$A21,'HSKG detail'!$C:$C,"&lt;"&amp;$AE$1)</f>
        <v>7</v>
      </c>
      <c r="S21" s="10">
        <f>COUNTIFS('HSKG detail'!$A:$A,$A21,'HSKG detail'!$C:$C,"&lt;"&amp;$AE$2)</f>
        <v>1</v>
      </c>
      <c r="T21" s="10">
        <f>COUNTIFS('HSKG detail'!$A:$A,$A21,'HSKG detail'!$C:$C,"&lt;"&amp;$AE$3)</f>
        <v>1</v>
      </c>
      <c r="U21" s="12">
        <f>+Housekeeping_sample[[#This Row],[Hkpg median]]*Housekeeping_sample[[#This Row],[Hkpg Hrsn]]</f>
        <v>180127.35</v>
      </c>
      <c r="V21" s="12">
        <f>+Housekeeping_sample[[#This Row],[Hkpg average]]*Housekeeping_sample[[#This Row],[Hkpg Hrsn]]</f>
        <v>177058.9785714286</v>
      </c>
      <c r="W21" s="14">
        <f>Housekeeping_sample[[#This Row],[Est median wage cost ]]/Housekeeping_sample[[#This Row],[Costs Rate Estimator]]</f>
        <v>1.1922568026422913</v>
      </c>
      <c r="X21" s="14">
        <f>Housekeeping_sample[[#This Row],[Est average wage cost]]/Housekeeping_sample[[#This Row],[Costs Rate Estimator]]</f>
        <v>1.1719473565268206</v>
      </c>
      <c r="Y21" s="14">
        <f>+Housekeeping_sample[[#This Row],[Hkpg min]]/Housekeeping_sample[[#This Row],[Hkpg median]]</f>
        <v>0.8807588075880759</v>
      </c>
      <c r="Z21" s="14">
        <f>+Housekeeping_sample[[#This Row],[Hkpg max]]/Housekeeping_sample[[#This Row],[Hkpg median]]</f>
        <v>1</v>
      </c>
      <c r="AA21" s="10">
        <f>VLOOKUP(A21,Summary!$1:$1048576,2,FALSE)</f>
        <v>3</v>
      </c>
    </row>
    <row r="22" spans="1:27" x14ac:dyDescent="0.55000000000000004">
      <c r="A22" s="10">
        <v>421</v>
      </c>
      <c r="B22" s="10" t="s">
        <v>54</v>
      </c>
      <c r="C22" s="10">
        <f>VLOOKUP($A22,'SAS Data'!$1:$1048576,MATCH(C$1,'SAS Data'!$3:$3,0),FALSE)</f>
        <v>3</v>
      </c>
      <c r="D22" s="10">
        <f>VLOOKUP($A22,'SAS Data'!$1:$1048576,MATCH(D$1,'SAS Data'!$3:$3,0),FALSE)</f>
        <v>2</v>
      </c>
      <c r="E22" s="10">
        <f t="shared" si="1"/>
        <v>5</v>
      </c>
      <c r="F22" s="11">
        <f>VLOOKUP($A22,'SAS Data'!$1:$1048576,MATCH(F$1,'SAS Data'!$3:$3,0),FALSE)</f>
        <v>15.745642795513374</v>
      </c>
      <c r="G22" s="12">
        <f>VLOOKUP($A22,'SAS Data'!$1:$1048576,MATCH(G$1,'SAS Data'!$3:$3,0),FALSE)</f>
        <v>5795</v>
      </c>
      <c r="H22" s="12">
        <f>+Housekeeping_sample[[#This Row],[Hkpg Cph]]*Housekeeping_sample[[#This Row],[Hkpg Hrsn]]</f>
        <v>91246</v>
      </c>
      <c r="I22" s="12">
        <f>VLOOKUP(Housekeeping_sample[[#This Row],[Random ID]],'Estimator data 120523'!$A:$H,8,FALSE)</f>
        <v>91246</v>
      </c>
      <c r="J22" s="11">
        <f>+Housekeeping_sample[[#This Row],[Costs Rate Estimator]]/Housekeeping_sample[[#This Row],[Hkpg Hrsn]]</f>
        <v>15.745642795513374</v>
      </c>
      <c r="K22" s="10">
        <f>COUNTIF('HSKG detail'!A:A,A22)</f>
        <v>6</v>
      </c>
      <c r="L22" s="13">
        <v>14.06</v>
      </c>
      <c r="M22" s="13">
        <v>16.32</v>
      </c>
      <c r="N22" s="13">
        <v>14.335000000000001</v>
      </c>
      <c r="O22" s="13">
        <v>14.746666666666668</v>
      </c>
      <c r="P22" s="10">
        <f>COUNTIFS('HSKG detail'!$A:$A,$A22,'HSKG detail'!$C:$C,"&lt;"&amp;N22)</f>
        <v>3</v>
      </c>
      <c r="Q22" s="10">
        <f>COUNTIFS('HSKG detail'!$A:$A,$A22,'HSKG detail'!$C:$C,"&lt;"&amp;O22)</f>
        <v>4</v>
      </c>
      <c r="R22" s="10">
        <f>COUNTIFS('HSKG detail'!$A:$A,$A22,'HSKG detail'!$C:$C,"&lt;"&amp;$AE$1)</f>
        <v>6</v>
      </c>
      <c r="S22" s="10">
        <f>COUNTIFS('HSKG detail'!$A:$A,$A22,'HSKG detail'!$C:$C,"&lt;"&amp;$AE$2)</f>
        <v>6</v>
      </c>
      <c r="T22" s="10">
        <f>COUNTIFS('HSKG detail'!$A:$A,$A22,'HSKG detail'!$C:$C,"&lt;"&amp;$AE$3)</f>
        <v>6</v>
      </c>
      <c r="U22" s="12">
        <f>+Housekeeping_sample[[#This Row],[Hkpg median]]*Housekeeping_sample[[#This Row],[Hkpg Hrsn]]</f>
        <v>83071.325000000012</v>
      </c>
      <c r="V22" s="12">
        <f>+Housekeeping_sample[[#This Row],[Hkpg average]]*Housekeeping_sample[[#This Row],[Hkpg Hrsn]]</f>
        <v>85456.933333333334</v>
      </c>
      <c r="W22" s="14">
        <f>Housekeeping_sample[[#This Row],[Est median wage cost ]]/Housekeeping_sample[[#This Row],[Costs Rate Estimator]]</f>
        <v>0.9104105933410781</v>
      </c>
      <c r="X22" s="14">
        <f>Housekeeping_sample[[#This Row],[Est average wage cost]]/Housekeeping_sample[[#This Row],[Costs Rate Estimator]]</f>
        <v>0.93655539238249719</v>
      </c>
      <c r="Y22" s="14">
        <f>+Housekeeping_sample[[#This Row],[Hkpg min]]/Housekeeping_sample[[#This Row],[Hkpg median]]</f>
        <v>0.98081618416463201</v>
      </c>
      <c r="Z22" s="14">
        <f>+Housekeeping_sample[[#This Row],[Hkpg max]]/Housekeeping_sample[[#This Row],[Hkpg median]]</f>
        <v>1.1384722706662016</v>
      </c>
      <c r="AA22" s="10">
        <f>VLOOKUP(A22,Summary!$1:$1048576,2,FALSE)</f>
        <v>1</v>
      </c>
    </row>
    <row r="23" spans="1:27" x14ac:dyDescent="0.55000000000000004">
      <c r="A23" s="10">
        <v>826</v>
      </c>
      <c r="B23" s="10" t="s">
        <v>54</v>
      </c>
      <c r="C23" s="10">
        <f>VLOOKUP($A23,'SAS Data'!$1:$1048576,MATCH(C$1,'SAS Data'!$3:$3,0),FALSE)</f>
        <v>3</v>
      </c>
      <c r="D23" s="10">
        <f>VLOOKUP($A23,'SAS Data'!$1:$1048576,MATCH(D$1,'SAS Data'!$3:$3,0),FALSE)</f>
        <v>3</v>
      </c>
      <c r="E23" s="10">
        <f t="shared" si="1"/>
        <v>6</v>
      </c>
      <c r="F23" s="11">
        <f>VLOOKUP($A23,'SAS Data'!$1:$1048576,MATCH(F$1,'SAS Data'!$3:$3,0),FALSE)</f>
        <v>16.159758325136995</v>
      </c>
      <c r="G23" s="12">
        <f>VLOOKUP($A23,'SAS Data'!$1:$1048576,MATCH(G$1,'SAS Data'!$3:$3,0),FALSE)</f>
        <v>7117</v>
      </c>
      <c r="H23" s="12">
        <f>+Housekeeping_sample[[#This Row],[Hkpg Cph]]*Housekeeping_sample[[#This Row],[Hkpg Hrsn]]</f>
        <v>115008.99999999999</v>
      </c>
      <c r="I23" s="12">
        <f>VLOOKUP(Housekeeping_sample[[#This Row],[Random ID]],'Estimator data 120523'!$A:$H,8,FALSE)</f>
        <v>113277</v>
      </c>
      <c r="J23" s="11">
        <f>+Housekeeping_sample[[#This Row],[Costs Rate Estimator]]/Housekeeping_sample[[#This Row],[Hkpg Hrsn]]</f>
        <v>15.916397358437544</v>
      </c>
      <c r="K23" s="10">
        <f>COUNTIF('HSKG detail'!A:A,A23)</f>
        <v>4</v>
      </c>
      <c r="L23" s="13">
        <v>15.19</v>
      </c>
      <c r="M23" s="13">
        <v>16.09</v>
      </c>
      <c r="N23" s="13">
        <v>15.5</v>
      </c>
      <c r="O23" s="13">
        <v>15.57</v>
      </c>
      <c r="P23" s="10">
        <f>COUNTIFS('HSKG detail'!$A:$A,$A23,'HSKG detail'!$C:$C,"&lt;"&amp;N23)</f>
        <v>1</v>
      </c>
      <c r="Q23" s="10">
        <f>COUNTIFS('HSKG detail'!$A:$A,$A23,'HSKG detail'!$C:$C,"&lt;"&amp;O23)</f>
        <v>3</v>
      </c>
      <c r="R23" s="10">
        <f>COUNTIFS('HSKG detail'!$A:$A,$A23,'HSKG detail'!$C:$C,"&lt;"&amp;$AE$1)</f>
        <v>4</v>
      </c>
      <c r="S23" s="10">
        <f>COUNTIFS('HSKG detail'!$A:$A,$A23,'HSKG detail'!$C:$C,"&lt;"&amp;$AE$2)</f>
        <v>4</v>
      </c>
      <c r="T23" s="10">
        <f>COUNTIFS('HSKG detail'!$A:$A,$A23,'HSKG detail'!$C:$C,"&lt;"&amp;$AE$3)</f>
        <v>4</v>
      </c>
      <c r="U23" s="12">
        <f>+Housekeeping_sample[[#This Row],[Hkpg median]]*Housekeeping_sample[[#This Row],[Hkpg Hrsn]]</f>
        <v>110313.5</v>
      </c>
      <c r="V23" s="12">
        <f>+Housekeeping_sample[[#This Row],[Hkpg average]]*Housekeeping_sample[[#This Row],[Hkpg Hrsn]]</f>
        <v>110811.69</v>
      </c>
      <c r="W23" s="14">
        <f>Housekeeping_sample[[#This Row],[Est median wage cost ]]/Housekeeping_sample[[#This Row],[Costs Rate Estimator]]</f>
        <v>0.9738384667673049</v>
      </c>
      <c r="X23" s="14">
        <f>Housekeeping_sample[[#This Row],[Est average wage cost]]/Housekeeping_sample[[#This Row],[Costs Rate Estimator]]</f>
        <v>0.9782364469398025</v>
      </c>
      <c r="Y23" s="14">
        <f>+Housekeeping_sample[[#This Row],[Hkpg min]]/Housekeeping_sample[[#This Row],[Hkpg median]]</f>
        <v>0.98</v>
      </c>
      <c r="Z23" s="14">
        <f>+Housekeeping_sample[[#This Row],[Hkpg max]]/Housekeeping_sample[[#This Row],[Hkpg median]]</f>
        <v>1.0380645161290323</v>
      </c>
      <c r="AA23" s="10">
        <f>VLOOKUP(A23,Summary!$1:$1048576,2,FALSE)</f>
        <v>3</v>
      </c>
    </row>
    <row r="24" spans="1:27" x14ac:dyDescent="0.55000000000000004">
      <c r="A24" s="10">
        <v>184</v>
      </c>
      <c r="B24" s="10" t="s">
        <v>54</v>
      </c>
      <c r="C24" s="10">
        <f>VLOOKUP($A24,'SAS Data'!$1:$1048576,MATCH(C$1,'SAS Data'!$3:$3,0),FALSE)</f>
        <v>3</v>
      </c>
      <c r="D24" s="10">
        <f>VLOOKUP($A24,'SAS Data'!$1:$1048576,MATCH(D$1,'SAS Data'!$3:$3,0),FALSE)</f>
        <v>0</v>
      </c>
      <c r="E24" s="10">
        <f t="shared" si="1"/>
        <v>3</v>
      </c>
      <c r="F24" s="11">
        <f>VLOOKUP($A24,'SAS Data'!$1:$1048576,MATCH(F$1,'SAS Data'!$3:$3,0),FALSE)</f>
        <v>15.78486394557823</v>
      </c>
      <c r="G24" s="12">
        <f>VLOOKUP($A24,'SAS Data'!$1:$1048576,MATCH(G$1,'SAS Data'!$3:$3,0),FALSE)</f>
        <v>2352</v>
      </c>
      <c r="H24" s="12">
        <f>+Housekeeping_sample[[#This Row],[Hkpg Cph]]*Housekeeping_sample[[#This Row],[Hkpg Hrsn]]</f>
        <v>37126</v>
      </c>
      <c r="I24" s="12">
        <f>VLOOKUP(Housekeeping_sample[[#This Row],[Random ID]],'Estimator data 120523'!$A:$H,8,FALSE)</f>
        <v>37620</v>
      </c>
      <c r="J24" s="11">
        <f>+Housekeeping_sample[[#This Row],[Costs Rate Estimator]]/Housekeeping_sample[[#This Row],[Hkpg Hrsn]]</f>
        <v>15.994897959183673</v>
      </c>
      <c r="K24" s="10">
        <f>COUNTIF('HSKG detail'!A:A,A24)</f>
        <v>3</v>
      </c>
      <c r="L24" s="13">
        <v>15</v>
      </c>
      <c r="M24" s="13">
        <v>16</v>
      </c>
      <c r="N24" s="13">
        <v>15.25</v>
      </c>
      <c r="O24" s="13">
        <v>15.416666666666666</v>
      </c>
      <c r="P24" s="10">
        <f>COUNTIFS('HSKG detail'!$A:$A,$A24,'HSKG detail'!$C:$C,"&lt;"&amp;N24)</f>
        <v>1</v>
      </c>
      <c r="Q24" s="10">
        <f>COUNTIFS('HSKG detail'!$A:$A,$A24,'HSKG detail'!$C:$C,"&lt;"&amp;O24)</f>
        <v>2</v>
      </c>
      <c r="R24" s="10">
        <f>COUNTIFS('HSKG detail'!$A:$A,$A24,'HSKG detail'!$C:$C,"&lt;"&amp;$AE$1)</f>
        <v>3</v>
      </c>
      <c r="S24" s="10">
        <f>COUNTIFS('HSKG detail'!$A:$A,$A24,'HSKG detail'!$C:$C,"&lt;"&amp;$AE$2)</f>
        <v>3</v>
      </c>
      <c r="T24" s="10">
        <f>COUNTIFS('HSKG detail'!$A:$A,$A24,'HSKG detail'!$C:$C,"&lt;"&amp;$AE$3)</f>
        <v>3</v>
      </c>
      <c r="U24" s="12">
        <f>+Housekeeping_sample[[#This Row],[Hkpg median]]*Housekeeping_sample[[#This Row],[Hkpg Hrsn]]</f>
        <v>35868</v>
      </c>
      <c r="V24" s="12">
        <f>+Housekeeping_sample[[#This Row],[Hkpg average]]*Housekeeping_sample[[#This Row],[Hkpg Hrsn]]</f>
        <v>36260</v>
      </c>
      <c r="W24" s="14">
        <f>Housekeeping_sample[[#This Row],[Est median wage cost ]]/Housekeeping_sample[[#This Row],[Costs Rate Estimator]]</f>
        <v>0.95342902711323763</v>
      </c>
      <c r="X24" s="14">
        <f>Housekeeping_sample[[#This Row],[Est average wage cost]]/Housekeeping_sample[[#This Row],[Costs Rate Estimator]]</f>
        <v>0.9638490164805954</v>
      </c>
      <c r="Y24" s="14">
        <f>+Housekeeping_sample[[#This Row],[Hkpg min]]/Housekeeping_sample[[#This Row],[Hkpg median]]</f>
        <v>0.98360655737704916</v>
      </c>
      <c r="Z24" s="14">
        <f>+Housekeeping_sample[[#This Row],[Hkpg max]]/Housekeeping_sample[[#This Row],[Hkpg median]]</f>
        <v>1.0491803278688525</v>
      </c>
      <c r="AA24" s="10">
        <f>VLOOKUP(A24,Summary!$1:$1048576,2,FALSE)</f>
        <v>1</v>
      </c>
    </row>
    <row r="25" spans="1:27" x14ac:dyDescent="0.55000000000000004">
      <c r="A25" s="10">
        <v>500</v>
      </c>
      <c r="B25" s="10" t="s">
        <v>54</v>
      </c>
      <c r="C25" s="10">
        <f>VLOOKUP($A25,'SAS Data'!$1:$1048576,MATCH(C$1,'SAS Data'!$3:$3,0),FALSE)</f>
        <v>6</v>
      </c>
      <c r="D25" s="10">
        <f>VLOOKUP($A25,'SAS Data'!$1:$1048576,MATCH(D$1,'SAS Data'!$3:$3,0),FALSE)</f>
        <v>1</v>
      </c>
      <c r="E25" s="10">
        <f t="shared" si="1"/>
        <v>7</v>
      </c>
      <c r="F25" s="11">
        <f>VLOOKUP($A25,'SAS Data'!$1:$1048576,MATCH(F$1,'SAS Data'!$3:$3,0),FALSE)</f>
        <v>16.04041067761807</v>
      </c>
      <c r="G25" s="12">
        <f>VLOOKUP($A25,'SAS Data'!$1:$1048576,MATCH(G$1,'SAS Data'!$3:$3,0),FALSE)</f>
        <v>12175</v>
      </c>
      <c r="H25" s="12">
        <f>+Housekeeping_sample[[#This Row],[Hkpg Cph]]*Housekeeping_sample[[#This Row],[Hkpg Hrsn]]</f>
        <v>195292</v>
      </c>
      <c r="I25" s="12">
        <f>VLOOKUP(Housekeeping_sample[[#This Row],[Random ID]],'Estimator data 120523'!$A:$H,8,FALSE)</f>
        <v>195292</v>
      </c>
      <c r="J25" s="11">
        <f>+Housekeeping_sample[[#This Row],[Costs Rate Estimator]]/Housekeeping_sample[[#This Row],[Hkpg Hrsn]]</f>
        <v>16.04041067761807</v>
      </c>
      <c r="K25" s="10">
        <f>COUNTIF('HSKG detail'!A:A,A25)</f>
        <v>7</v>
      </c>
      <c r="L25" s="13">
        <v>14.48</v>
      </c>
      <c r="M25" s="13">
        <v>17</v>
      </c>
      <c r="N25" s="13">
        <v>16.13</v>
      </c>
      <c r="O25" s="13">
        <v>15.87</v>
      </c>
      <c r="P25" s="10">
        <f>COUNTIFS('HSKG detail'!$A:$A,$A25,'HSKG detail'!$C:$C,"&lt;"&amp;N25)</f>
        <v>3</v>
      </c>
      <c r="Q25" s="10">
        <f>COUNTIFS('HSKG detail'!$A:$A,$A25,'HSKG detail'!$C:$C,"&lt;"&amp;O25)</f>
        <v>3</v>
      </c>
      <c r="R25" s="10">
        <f>COUNTIFS('HSKG detail'!$A:$A,$A25,'HSKG detail'!$C:$C,"&lt;"&amp;$AE$1)</f>
        <v>7</v>
      </c>
      <c r="S25" s="10">
        <f>COUNTIFS('HSKG detail'!$A:$A,$A25,'HSKG detail'!$C:$C,"&lt;"&amp;$AE$2)</f>
        <v>7</v>
      </c>
      <c r="T25" s="10">
        <f>COUNTIFS('HSKG detail'!$A:$A,$A25,'HSKG detail'!$C:$C,"&lt;"&amp;$AE$3)</f>
        <v>7</v>
      </c>
      <c r="U25" s="12">
        <f>+Housekeeping_sample[[#This Row],[Hkpg median]]*Housekeeping_sample[[#This Row],[Hkpg Hrsn]]</f>
        <v>196382.75</v>
      </c>
      <c r="V25" s="12">
        <f>+Housekeeping_sample[[#This Row],[Hkpg average]]*Housekeeping_sample[[#This Row],[Hkpg Hrsn]]</f>
        <v>193217.25</v>
      </c>
      <c r="W25" s="14">
        <f>Housekeeping_sample[[#This Row],[Est median wage cost ]]/Housekeeping_sample[[#This Row],[Costs Rate Estimator]]</f>
        <v>1.0055852262253446</v>
      </c>
      <c r="X25" s="14">
        <f>Housekeeping_sample[[#This Row],[Est average wage cost]]/Housekeeping_sample[[#This Row],[Costs Rate Estimator]]</f>
        <v>0.98937616492227021</v>
      </c>
      <c r="Y25" s="14">
        <f>+Housekeeping_sample[[#This Row],[Hkpg min]]/Housekeeping_sample[[#This Row],[Hkpg median]]</f>
        <v>0.89770613763174223</v>
      </c>
      <c r="Z25" s="14">
        <f>+Housekeeping_sample[[#This Row],[Hkpg max]]/Housekeeping_sample[[#This Row],[Hkpg median]]</f>
        <v>1.0539367637941723</v>
      </c>
      <c r="AA25" s="10">
        <f>VLOOKUP(A25,Summary!$1:$1048576,2,FALSE)</f>
        <v>2</v>
      </c>
    </row>
    <row r="26" spans="1:27" x14ac:dyDescent="0.55000000000000004">
      <c r="A26" s="10">
        <v>383</v>
      </c>
      <c r="B26" s="10" t="s">
        <v>54</v>
      </c>
      <c r="C26" s="10">
        <f>VLOOKUP($A26,'SAS Data'!$1:$1048576,MATCH(C$1,'SAS Data'!$3:$3,0),FALSE)</f>
        <v>2</v>
      </c>
      <c r="D26" s="10">
        <f>VLOOKUP($A26,'SAS Data'!$1:$1048576,MATCH(D$1,'SAS Data'!$3:$3,0),FALSE)</f>
        <v>0</v>
      </c>
      <c r="E26" s="10">
        <f t="shared" si="1"/>
        <v>2</v>
      </c>
      <c r="F26" s="11">
        <f>VLOOKUP($A26,'SAS Data'!$1:$1048576,MATCH(F$1,'SAS Data'!$3:$3,0),FALSE)</f>
        <v>16.357462173314993</v>
      </c>
      <c r="G26" s="12">
        <f>VLOOKUP($A26,'SAS Data'!$1:$1048576,MATCH(G$1,'SAS Data'!$3:$3,0),FALSE)</f>
        <v>5816</v>
      </c>
      <c r="H26" s="12">
        <f>+Housekeeping_sample[[#This Row],[Hkpg Cph]]*Housekeeping_sample[[#This Row],[Hkpg Hrsn]]</f>
        <v>95135</v>
      </c>
      <c r="I26" s="12">
        <f>VLOOKUP(Housekeeping_sample[[#This Row],[Random ID]],'Estimator data 120523'!$A:$H,8,FALSE)</f>
        <v>93871</v>
      </c>
      <c r="J26" s="11">
        <f>+Housekeeping_sample[[#This Row],[Costs Rate Estimator]]/Housekeeping_sample[[#This Row],[Hkpg Hrsn]]</f>
        <v>16.140130674002751</v>
      </c>
      <c r="K26" s="10">
        <f>COUNTIF('HSKG detail'!A:A,A26)</f>
        <v>6</v>
      </c>
      <c r="L26" s="13">
        <v>18</v>
      </c>
      <c r="M26" s="13">
        <v>22</v>
      </c>
      <c r="N26" s="13">
        <v>18</v>
      </c>
      <c r="O26" s="13">
        <v>18.833333333333332</v>
      </c>
      <c r="P26" s="10">
        <f>COUNTIFS('HSKG detail'!$A:$A,$A26,'HSKG detail'!$C:$C,"&lt;"&amp;N26)</f>
        <v>0</v>
      </c>
      <c r="Q26" s="10">
        <f>COUNTIFS('HSKG detail'!$A:$A,$A26,'HSKG detail'!$C:$C,"&lt;"&amp;O26)</f>
        <v>4</v>
      </c>
      <c r="R26" s="10">
        <f>COUNTIFS('HSKG detail'!$A:$A,$A26,'HSKG detail'!$C:$C,"&lt;"&amp;$AE$1)</f>
        <v>6</v>
      </c>
      <c r="S26" s="10">
        <f>COUNTIFS('HSKG detail'!$A:$A,$A26,'HSKG detail'!$C:$C,"&lt;"&amp;$AE$2)</f>
        <v>0</v>
      </c>
      <c r="T26" s="10">
        <f>COUNTIFS('HSKG detail'!$A:$A,$A26,'HSKG detail'!$C:$C,"&lt;"&amp;$AE$3)</f>
        <v>0</v>
      </c>
      <c r="U26" s="12">
        <f>+Housekeeping_sample[[#This Row],[Hkpg median]]*Housekeeping_sample[[#This Row],[Hkpg Hrsn]]</f>
        <v>104688</v>
      </c>
      <c r="V26" s="12">
        <f>+Housekeeping_sample[[#This Row],[Hkpg average]]*Housekeeping_sample[[#This Row],[Hkpg Hrsn]]</f>
        <v>109534.66666666666</v>
      </c>
      <c r="W26" s="14">
        <f>Housekeeping_sample[[#This Row],[Est median wage cost ]]/Housekeeping_sample[[#This Row],[Costs Rate Estimator]]</f>
        <v>1.1152326064492761</v>
      </c>
      <c r="X26" s="14">
        <f>Housekeeping_sample[[#This Row],[Est average wage cost]]/Housekeeping_sample[[#This Row],[Costs Rate Estimator]]</f>
        <v>1.1668637456367426</v>
      </c>
      <c r="Y26" s="14">
        <f>+Housekeeping_sample[[#This Row],[Hkpg min]]/Housekeeping_sample[[#This Row],[Hkpg median]]</f>
        <v>1</v>
      </c>
      <c r="Z26" s="14">
        <f>+Housekeeping_sample[[#This Row],[Hkpg max]]/Housekeeping_sample[[#This Row],[Hkpg median]]</f>
        <v>1.2222222222222223</v>
      </c>
      <c r="AA26" s="10">
        <f>VLOOKUP(A26,Summary!$1:$1048576,2,FALSE)</f>
        <v>3</v>
      </c>
    </row>
    <row r="27" spans="1:27" x14ac:dyDescent="0.55000000000000004">
      <c r="A27" s="10">
        <v>776</v>
      </c>
      <c r="B27" s="10" t="s">
        <v>54</v>
      </c>
      <c r="C27" s="10">
        <f>VLOOKUP($A27,'SAS Data'!$1:$1048576,MATCH(C$1,'SAS Data'!$3:$3,0),FALSE)</f>
        <v>3</v>
      </c>
      <c r="D27" s="10">
        <f>VLOOKUP($A27,'SAS Data'!$1:$1048576,MATCH(D$1,'SAS Data'!$3:$3,0),FALSE)</f>
        <v>0</v>
      </c>
      <c r="E27" s="10">
        <f t="shared" si="1"/>
        <v>3</v>
      </c>
      <c r="F27" s="11">
        <f>VLOOKUP($A27,'SAS Data'!$1:$1048576,MATCH(F$1,'SAS Data'!$3:$3,0),FALSE)</f>
        <v>16.163333893463282</v>
      </c>
      <c r="G27" s="12">
        <f>VLOOKUP($A27,'SAS Data'!$1:$1048576,MATCH(G$1,'SAS Data'!$3:$3,0),FALSE)</f>
        <v>5951</v>
      </c>
      <c r="H27" s="12">
        <f>+Housekeeping_sample[[#This Row],[Hkpg Cph]]*Housekeeping_sample[[#This Row],[Hkpg Hrsn]]</f>
        <v>96187.999999999985</v>
      </c>
      <c r="I27" s="12">
        <f>VLOOKUP(Housekeeping_sample[[#This Row],[Random ID]],'Estimator data 120523'!$A:$H,8,FALSE)</f>
        <v>96188</v>
      </c>
      <c r="J27" s="11">
        <f>+Housekeeping_sample[[#This Row],[Costs Rate Estimator]]/Housekeeping_sample[[#This Row],[Hkpg Hrsn]]</f>
        <v>16.163333893463282</v>
      </c>
      <c r="K27" s="10">
        <f>COUNTIF('HSKG detail'!A:A,A27)</f>
        <v>5</v>
      </c>
      <c r="L27" s="13">
        <v>16</v>
      </c>
      <c r="M27" s="13">
        <v>18</v>
      </c>
      <c r="N27" s="13">
        <v>16.5</v>
      </c>
      <c r="O27" s="13">
        <v>17</v>
      </c>
      <c r="P27" s="10">
        <f>COUNTIFS('HSKG detail'!$A:$A,$A27,'HSKG detail'!$C:$C,"&lt;"&amp;N27)</f>
        <v>1</v>
      </c>
      <c r="Q27" s="10">
        <f>COUNTIFS('HSKG detail'!$A:$A,$A27,'HSKG detail'!$C:$C,"&lt;"&amp;O27)</f>
        <v>3</v>
      </c>
      <c r="R27" s="10">
        <f>COUNTIFS('HSKG detail'!$A:$A,$A27,'HSKG detail'!$C:$C,"&lt;"&amp;$AE$1)</f>
        <v>5</v>
      </c>
      <c r="S27" s="10">
        <f>COUNTIFS('HSKG detail'!$A:$A,$A27,'HSKG detail'!$C:$C,"&lt;"&amp;$AE$2)</f>
        <v>3</v>
      </c>
      <c r="T27" s="10">
        <f>COUNTIFS('HSKG detail'!$A:$A,$A27,'HSKG detail'!$C:$C,"&lt;"&amp;$AE$3)</f>
        <v>3</v>
      </c>
      <c r="U27" s="12">
        <f>+Housekeeping_sample[[#This Row],[Hkpg median]]*Housekeeping_sample[[#This Row],[Hkpg Hrsn]]</f>
        <v>98191.5</v>
      </c>
      <c r="V27" s="12">
        <f>+Housekeeping_sample[[#This Row],[Hkpg average]]*Housekeeping_sample[[#This Row],[Hkpg Hrsn]]</f>
        <v>101167</v>
      </c>
      <c r="W27" s="14">
        <f>Housekeeping_sample[[#This Row],[Est median wage cost ]]/Housekeeping_sample[[#This Row],[Costs Rate Estimator]]</f>
        <v>1.0208290015386534</v>
      </c>
      <c r="X27" s="14">
        <f>Housekeeping_sample[[#This Row],[Est average wage cost]]/Housekeeping_sample[[#This Row],[Costs Rate Estimator]]</f>
        <v>1.0517632137064914</v>
      </c>
      <c r="Y27" s="14">
        <f>+Housekeeping_sample[[#This Row],[Hkpg min]]/Housekeeping_sample[[#This Row],[Hkpg median]]</f>
        <v>0.96969696969696972</v>
      </c>
      <c r="Z27" s="14">
        <f>+Housekeeping_sample[[#This Row],[Hkpg max]]/Housekeeping_sample[[#This Row],[Hkpg median]]</f>
        <v>1.0909090909090908</v>
      </c>
      <c r="AA27" s="10">
        <f>VLOOKUP(A27,Summary!$1:$1048576,2,FALSE)</f>
        <v>1</v>
      </c>
    </row>
    <row r="28" spans="1:27" x14ac:dyDescent="0.55000000000000004">
      <c r="A28" s="10">
        <v>965</v>
      </c>
      <c r="B28" s="10" t="s">
        <v>54</v>
      </c>
      <c r="C28" s="10">
        <f>VLOOKUP($A28,'SAS Data'!$1:$1048576,MATCH(C$1,'SAS Data'!$3:$3,0),FALSE)</f>
        <v>2</v>
      </c>
      <c r="D28" s="10">
        <f>VLOOKUP($A28,'SAS Data'!$1:$1048576,MATCH(D$1,'SAS Data'!$3:$3,0),FALSE)</f>
        <v>2</v>
      </c>
      <c r="E28" s="10">
        <f t="shared" si="1"/>
        <v>4</v>
      </c>
      <c r="F28" s="11">
        <f>VLOOKUP($A28,'SAS Data'!$1:$1048576,MATCH(F$1,'SAS Data'!$3:$3,0),FALSE)</f>
        <v>15.516805204192266</v>
      </c>
      <c r="G28" s="12">
        <f>VLOOKUP($A28,'SAS Data'!$1:$1048576,MATCH(G$1,'SAS Data'!$3:$3,0),FALSE)</f>
        <v>5534</v>
      </c>
      <c r="H28" s="12">
        <f>+Housekeeping_sample[[#This Row],[Hkpg Cph]]*Housekeeping_sample[[#This Row],[Hkpg Hrsn]]</f>
        <v>85870</v>
      </c>
      <c r="I28" s="12">
        <f>VLOOKUP(Housekeeping_sample[[#This Row],[Random ID]],'Estimator data 120523'!$A:$H,8,FALSE)</f>
        <v>90100</v>
      </c>
      <c r="J28" s="11">
        <f>+Housekeeping_sample[[#This Row],[Costs Rate Estimator]]/Housekeeping_sample[[#This Row],[Hkpg Hrsn]]</f>
        <v>16.281170943259848</v>
      </c>
      <c r="K28" s="10">
        <f>COUNTIF('HSKG detail'!A:A,A28)</f>
        <v>4</v>
      </c>
      <c r="L28" s="13">
        <v>20.41</v>
      </c>
      <c r="M28" s="13">
        <v>20.41</v>
      </c>
      <c r="N28" s="13">
        <v>20.41</v>
      </c>
      <c r="O28" s="13">
        <v>20.41</v>
      </c>
      <c r="P28" s="10">
        <f>COUNTIFS('HSKG detail'!$A:$A,$A28,'HSKG detail'!$C:$C,"&lt;"&amp;N28)</f>
        <v>0</v>
      </c>
      <c r="Q28" s="10">
        <f>COUNTIFS('HSKG detail'!$A:$A,$A28,'HSKG detail'!$C:$C,"&lt;"&amp;O28)</f>
        <v>0</v>
      </c>
      <c r="R28" s="10">
        <f>COUNTIFS('HSKG detail'!$A:$A,$A28,'HSKG detail'!$C:$C,"&lt;"&amp;$AE$1)</f>
        <v>4</v>
      </c>
      <c r="S28" s="10">
        <f>COUNTIFS('HSKG detail'!$A:$A,$A28,'HSKG detail'!$C:$C,"&lt;"&amp;$AE$2)</f>
        <v>0</v>
      </c>
      <c r="T28" s="10">
        <f>COUNTIFS('HSKG detail'!$A:$A,$A28,'HSKG detail'!$C:$C,"&lt;"&amp;$AE$3)</f>
        <v>0</v>
      </c>
      <c r="U28" s="12">
        <f>+Housekeeping_sample[[#This Row],[Hkpg median]]*Housekeeping_sample[[#This Row],[Hkpg Hrsn]]</f>
        <v>112948.94</v>
      </c>
      <c r="V28" s="12">
        <f>+Housekeeping_sample[[#This Row],[Hkpg average]]*Housekeeping_sample[[#This Row],[Hkpg Hrsn]]</f>
        <v>112948.94</v>
      </c>
      <c r="W28" s="14">
        <f>Housekeeping_sample[[#This Row],[Est median wage cost ]]/Housekeeping_sample[[#This Row],[Costs Rate Estimator]]</f>
        <v>1.2535953385127636</v>
      </c>
      <c r="X28" s="14">
        <f>Housekeeping_sample[[#This Row],[Est average wage cost]]/Housekeeping_sample[[#This Row],[Costs Rate Estimator]]</f>
        <v>1.2535953385127636</v>
      </c>
      <c r="Y28" s="14">
        <f>+Housekeeping_sample[[#This Row],[Hkpg min]]/Housekeeping_sample[[#This Row],[Hkpg median]]</f>
        <v>1</v>
      </c>
      <c r="Z28" s="14">
        <f>+Housekeeping_sample[[#This Row],[Hkpg max]]/Housekeeping_sample[[#This Row],[Hkpg median]]</f>
        <v>1</v>
      </c>
      <c r="AA28" s="10">
        <f>VLOOKUP(A28,Summary!$1:$1048576,2,FALSE)</f>
        <v>2</v>
      </c>
    </row>
    <row r="29" spans="1:27" x14ac:dyDescent="0.55000000000000004">
      <c r="A29" s="10">
        <v>701</v>
      </c>
      <c r="B29" s="10" t="s">
        <v>54</v>
      </c>
      <c r="C29" s="10">
        <f>VLOOKUP($A29,'SAS Data'!$1:$1048576,MATCH(C$1,'SAS Data'!$3:$3,0),FALSE)</f>
        <v>5</v>
      </c>
      <c r="D29" s="10">
        <f>VLOOKUP($A29,'SAS Data'!$1:$1048576,MATCH(D$1,'SAS Data'!$3:$3,0),FALSE)</f>
        <v>0</v>
      </c>
      <c r="E29" s="10">
        <f t="shared" si="1"/>
        <v>5</v>
      </c>
      <c r="F29" s="11">
        <f>VLOOKUP($A29,'SAS Data'!$1:$1048576,MATCH(F$1,'SAS Data'!$3:$3,0),FALSE)</f>
        <v>16.311217756448709</v>
      </c>
      <c r="G29" s="12">
        <f>VLOOKUP($A29,'SAS Data'!$1:$1048576,MATCH(G$1,'SAS Data'!$3:$3,0),FALSE)</f>
        <v>8335</v>
      </c>
      <c r="H29" s="12">
        <f>+Housekeeping_sample[[#This Row],[Hkpg Cph]]*Housekeeping_sample[[#This Row],[Hkpg Hrsn]]</f>
        <v>135954</v>
      </c>
      <c r="I29" s="12">
        <f>VLOOKUP(Housekeeping_sample[[#This Row],[Random ID]],'Estimator data 120523'!$A:$H,8,FALSE)</f>
        <v>135954</v>
      </c>
      <c r="J29" s="11">
        <f>+Housekeeping_sample[[#This Row],[Costs Rate Estimator]]/Housekeeping_sample[[#This Row],[Hkpg Hrsn]]</f>
        <v>16.311217756448709</v>
      </c>
      <c r="K29" s="10">
        <f>COUNTIF('HSKG detail'!A:A,A29)</f>
        <v>4</v>
      </c>
      <c r="L29" s="13">
        <v>15.35</v>
      </c>
      <c r="M29" s="13">
        <v>29</v>
      </c>
      <c r="N29" s="13">
        <v>18.725000000000001</v>
      </c>
      <c r="O29" s="13">
        <v>18.821428571428573</v>
      </c>
      <c r="P29" s="10">
        <f>COUNTIFS('HSKG detail'!$A:$A,$A29,'HSKG detail'!$C:$C,"&lt;"&amp;N29)</f>
        <v>4</v>
      </c>
      <c r="Q29" s="10">
        <f>COUNTIFS('HSKG detail'!$A:$A,$A29,'HSKG detail'!$C:$C,"&lt;"&amp;O29)</f>
        <v>4</v>
      </c>
      <c r="R29" s="10">
        <f>COUNTIFS('HSKG detail'!$A:$A,$A29,'HSKG detail'!$C:$C,"&lt;"&amp;$AE$1)</f>
        <v>4</v>
      </c>
      <c r="S29" s="10">
        <f>COUNTIFS('HSKG detail'!$A:$A,$A29,'HSKG detail'!$C:$C,"&lt;"&amp;$AE$2)</f>
        <v>4</v>
      </c>
      <c r="T29" s="10">
        <f>COUNTIFS('HSKG detail'!$A:$A,$A29,'HSKG detail'!$C:$C,"&lt;"&amp;$AE$3)</f>
        <v>4</v>
      </c>
      <c r="U29" s="12">
        <f>+Housekeeping_sample[[#This Row],[Hkpg median]]*Housekeeping_sample[[#This Row],[Hkpg Hrsn]]</f>
        <v>156072.875</v>
      </c>
      <c r="V29" s="12">
        <f>+Housekeeping_sample[[#This Row],[Hkpg average]]*Housekeeping_sample[[#This Row],[Hkpg Hrsn]]</f>
        <v>156876.60714285716</v>
      </c>
      <c r="W29" s="14">
        <f>Housekeeping_sample[[#This Row],[Est median wage cost ]]/Housekeeping_sample[[#This Row],[Costs Rate Estimator]]</f>
        <v>1.1479829574709093</v>
      </c>
      <c r="X29" s="14">
        <f>Housekeeping_sample[[#This Row],[Est average wage cost]]/Housekeeping_sample[[#This Row],[Costs Rate Estimator]]</f>
        <v>1.1538947522166112</v>
      </c>
      <c r="Y29" s="14">
        <f>+Housekeeping_sample[[#This Row],[Hkpg min]]/Housekeeping_sample[[#This Row],[Hkpg median]]</f>
        <v>0.81975967957276363</v>
      </c>
      <c r="Z29" s="14">
        <f>+Housekeeping_sample[[#This Row],[Hkpg max]]/Housekeeping_sample[[#This Row],[Hkpg median]]</f>
        <v>1.548731642189586</v>
      </c>
      <c r="AA29" s="10">
        <f>VLOOKUP(A29,Summary!$1:$1048576,2,FALSE)</f>
        <v>3</v>
      </c>
    </row>
    <row r="30" spans="1:27" x14ac:dyDescent="0.55000000000000004">
      <c r="A30" s="10">
        <v>550</v>
      </c>
      <c r="B30" s="10" t="s">
        <v>54</v>
      </c>
      <c r="C30" s="10">
        <f>VLOOKUP($A30,'SAS Data'!$1:$1048576,MATCH(C$1,'SAS Data'!$3:$3,0),FALSE)</f>
        <v>3</v>
      </c>
      <c r="D30" s="10">
        <f>VLOOKUP($A30,'SAS Data'!$1:$1048576,MATCH(D$1,'SAS Data'!$3:$3,0),FALSE)</f>
        <v>0</v>
      </c>
      <c r="E30" s="10">
        <f t="shared" si="1"/>
        <v>3</v>
      </c>
      <c r="F30" s="11">
        <f>VLOOKUP($A30,'SAS Data'!$1:$1048576,MATCH(F$1,'SAS Data'!$3:$3,0),FALSE)</f>
        <v>16.701661631419938</v>
      </c>
      <c r="G30" s="12">
        <f>VLOOKUP($A30,'SAS Data'!$1:$1048576,MATCH(G$1,'SAS Data'!$3:$3,0),FALSE)</f>
        <v>3972</v>
      </c>
      <c r="H30" s="12">
        <f>+Housekeeping_sample[[#This Row],[Hkpg Cph]]*Housekeeping_sample[[#This Row],[Hkpg Hrsn]]</f>
        <v>66339</v>
      </c>
      <c r="I30" s="12">
        <f>VLOOKUP(Housekeeping_sample[[#This Row],[Random ID]],'Estimator data 120523'!$A:$H,8,FALSE)</f>
        <v>64823</v>
      </c>
      <c r="J30" s="11">
        <f>+Housekeeping_sample[[#This Row],[Costs Rate Estimator]]/Housekeeping_sample[[#This Row],[Hkpg Hrsn]]</f>
        <v>16.319989929506544</v>
      </c>
      <c r="K30" s="10">
        <f>COUNTIF('HSKG detail'!A:A,A30)</f>
        <v>2</v>
      </c>
      <c r="L30" s="13">
        <v>15.44</v>
      </c>
      <c r="M30" s="13">
        <v>17.77</v>
      </c>
      <c r="N30" s="13">
        <v>16.605</v>
      </c>
      <c r="O30" s="13">
        <v>16.605</v>
      </c>
      <c r="P30" s="10">
        <f>COUNTIFS('HSKG detail'!$A:$A,$A30,'HSKG detail'!$C:$C,"&lt;"&amp;N30)</f>
        <v>1</v>
      </c>
      <c r="Q30" s="10">
        <f>COUNTIFS('HSKG detail'!$A:$A,$A30,'HSKG detail'!$C:$C,"&lt;"&amp;O30)</f>
        <v>1</v>
      </c>
      <c r="R30" s="10">
        <f>COUNTIFS('HSKG detail'!$A:$A,$A30,'HSKG detail'!$C:$C,"&lt;"&amp;$AE$1)</f>
        <v>2</v>
      </c>
      <c r="S30" s="10">
        <f>COUNTIFS('HSKG detail'!$A:$A,$A30,'HSKG detail'!$C:$C,"&lt;"&amp;$AE$2)</f>
        <v>1</v>
      </c>
      <c r="T30" s="10">
        <f>COUNTIFS('HSKG detail'!$A:$A,$A30,'HSKG detail'!$C:$C,"&lt;"&amp;$AE$3)</f>
        <v>1</v>
      </c>
      <c r="U30" s="12">
        <f>+Housekeeping_sample[[#This Row],[Hkpg median]]*Housekeeping_sample[[#This Row],[Hkpg Hrsn]]</f>
        <v>65955.06</v>
      </c>
      <c r="V30" s="12">
        <f>+Housekeeping_sample[[#This Row],[Hkpg average]]*Housekeeping_sample[[#This Row],[Hkpg Hrsn]]</f>
        <v>65955.06</v>
      </c>
      <c r="W30" s="14">
        <f>Housekeeping_sample[[#This Row],[Est median wage cost ]]/Housekeeping_sample[[#This Row],[Costs Rate Estimator]]</f>
        <v>1.0174638631349984</v>
      </c>
      <c r="X30" s="14">
        <f>Housekeeping_sample[[#This Row],[Est average wage cost]]/Housekeeping_sample[[#This Row],[Costs Rate Estimator]]</f>
        <v>1.0174638631349984</v>
      </c>
      <c r="Y30" s="14">
        <f>+Housekeeping_sample[[#This Row],[Hkpg min]]/Housekeeping_sample[[#This Row],[Hkpg median]]</f>
        <v>0.92984040951520619</v>
      </c>
      <c r="Z30" s="14">
        <f>+Housekeeping_sample[[#This Row],[Hkpg max]]/Housekeeping_sample[[#This Row],[Hkpg median]]</f>
        <v>1.0701595904847936</v>
      </c>
      <c r="AA30" s="10">
        <f>VLOOKUP(A30,Summary!$1:$1048576,2,FALSE)</f>
        <v>2</v>
      </c>
    </row>
    <row r="31" spans="1:27" x14ac:dyDescent="0.55000000000000004">
      <c r="A31" s="10">
        <v>624</v>
      </c>
      <c r="B31" s="10" t="s">
        <v>54</v>
      </c>
      <c r="C31" s="10">
        <f>VLOOKUP($A31,'SAS Data'!$1:$1048576,MATCH(C$1,'SAS Data'!$3:$3,0),FALSE)</f>
        <v>9</v>
      </c>
      <c r="D31" s="10">
        <f>VLOOKUP($A31,'SAS Data'!$1:$1048576,MATCH(D$1,'SAS Data'!$3:$3,0),FALSE)</f>
        <v>6</v>
      </c>
      <c r="E31" s="10">
        <f t="shared" si="1"/>
        <v>15</v>
      </c>
      <c r="F31" s="11">
        <f>VLOOKUP($A31,'SAS Data'!$1:$1048576,MATCH(F$1,'SAS Data'!$3:$3,0),FALSE)</f>
        <v>16.488410084330432</v>
      </c>
      <c r="G31" s="12">
        <f>VLOOKUP($A31,'SAS Data'!$1:$1048576,MATCH(G$1,'SAS Data'!$3:$3,0),FALSE)</f>
        <v>22649</v>
      </c>
      <c r="H31" s="12">
        <f>+Housekeeping_sample[[#This Row],[Hkpg Cph]]*Housekeeping_sample[[#This Row],[Hkpg Hrsn]]</f>
        <v>373445.99999999994</v>
      </c>
      <c r="I31" s="12">
        <f>VLOOKUP(Housekeeping_sample[[#This Row],[Random ID]],'Estimator data 120523'!$A:$H,8,FALSE)</f>
        <v>373446</v>
      </c>
      <c r="J31" s="11">
        <f>+Housekeeping_sample[[#This Row],[Costs Rate Estimator]]/Housekeeping_sample[[#This Row],[Hkpg Hrsn]]</f>
        <v>16.488410084330432</v>
      </c>
      <c r="K31" s="10">
        <f>COUNTIF('HSKG detail'!A:A,A31)</f>
        <v>14</v>
      </c>
      <c r="L31" s="13">
        <v>14</v>
      </c>
      <c r="M31" s="13">
        <v>18.23</v>
      </c>
      <c r="N31" s="13">
        <v>16.21</v>
      </c>
      <c r="O31" s="13">
        <v>16.087142857142858</v>
      </c>
      <c r="P31" s="10">
        <f>COUNTIFS('HSKG detail'!$A:$A,$A31,'HSKG detail'!$C:$C,"&lt;"&amp;N31)</f>
        <v>7</v>
      </c>
      <c r="Q31" s="10">
        <f>COUNTIFS('HSKG detail'!$A:$A,$A31,'HSKG detail'!$C:$C,"&lt;"&amp;O31)</f>
        <v>7</v>
      </c>
      <c r="R31" s="10">
        <f>COUNTIFS('HSKG detail'!$A:$A,$A31,'HSKG detail'!$C:$C,"&lt;"&amp;$AE$1)</f>
        <v>14</v>
      </c>
      <c r="S31" s="10">
        <f>COUNTIFS('HSKG detail'!$A:$A,$A31,'HSKG detail'!$C:$C,"&lt;"&amp;$AE$2)</f>
        <v>10</v>
      </c>
      <c r="T31" s="10">
        <f>COUNTIFS('HSKG detail'!$A:$A,$A31,'HSKG detail'!$C:$C,"&lt;"&amp;$AE$3)</f>
        <v>10</v>
      </c>
      <c r="U31" s="12">
        <f>+Housekeeping_sample[[#This Row],[Hkpg median]]*Housekeeping_sample[[#This Row],[Hkpg Hrsn]]</f>
        <v>367140.29000000004</v>
      </c>
      <c r="V31" s="12">
        <f>+Housekeeping_sample[[#This Row],[Hkpg average]]*Housekeeping_sample[[#This Row],[Hkpg Hrsn]]</f>
        <v>364357.6985714286</v>
      </c>
      <c r="W31" s="14">
        <f>Housekeeping_sample[[#This Row],[Est median wage cost ]]/Housekeeping_sample[[#This Row],[Costs Rate Estimator]]</f>
        <v>0.98311480106896321</v>
      </c>
      <c r="X31" s="14">
        <f>Housekeeping_sample[[#This Row],[Est average wage cost]]/Housekeeping_sample[[#This Row],[Costs Rate Estimator]]</f>
        <v>0.97566367981295443</v>
      </c>
      <c r="Y31" s="14">
        <f>+Housekeeping_sample[[#This Row],[Hkpg min]]/Housekeeping_sample[[#This Row],[Hkpg median]]</f>
        <v>0.86366440468846384</v>
      </c>
      <c r="Z31" s="14">
        <f>+Housekeeping_sample[[#This Row],[Hkpg max]]/Housekeeping_sample[[#This Row],[Hkpg median]]</f>
        <v>1.1246144355336212</v>
      </c>
      <c r="AA31" s="10">
        <f>VLOOKUP(A31,Summary!$1:$1048576,2,FALSE)</f>
        <v>3</v>
      </c>
    </row>
    <row r="32" spans="1:27" x14ac:dyDescent="0.55000000000000004">
      <c r="A32" s="10">
        <v>937</v>
      </c>
      <c r="B32" s="10" t="s">
        <v>54</v>
      </c>
      <c r="C32" s="10">
        <f>VLOOKUP($A32,'SAS Data'!$1:$1048576,MATCH(C$1,'SAS Data'!$3:$3,0),FALSE)</f>
        <v>1</v>
      </c>
      <c r="D32" s="10">
        <f>VLOOKUP($A32,'SAS Data'!$1:$1048576,MATCH(D$1,'SAS Data'!$3:$3,0),FALSE)</f>
        <v>1</v>
      </c>
      <c r="E32" s="10">
        <f t="shared" si="1"/>
        <v>2</v>
      </c>
      <c r="F32" s="11">
        <f>VLOOKUP($A32,'SAS Data'!$1:$1048576,MATCH(F$1,'SAS Data'!$3:$3,0),FALSE)</f>
        <v>16.528970826580228</v>
      </c>
      <c r="G32" s="12">
        <f>VLOOKUP($A32,'SAS Data'!$1:$1048576,MATCH(G$1,'SAS Data'!$3:$3,0),FALSE)</f>
        <v>4936</v>
      </c>
      <c r="H32" s="12">
        <f>+Housekeeping_sample[[#This Row],[Hkpg Cph]]*Housekeeping_sample[[#This Row],[Hkpg Hrsn]]</f>
        <v>81587</v>
      </c>
      <c r="I32" s="12">
        <f>VLOOKUP(Housekeeping_sample[[#This Row],[Random ID]],'Estimator data 120523'!$A:$H,8,FALSE)</f>
        <v>81487</v>
      </c>
      <c r="J32" s="11">
        <f>+Housekeeping_sample[[#This Row],[Costs Rate Estimator]]/Housekeeping_sample[[#This Row],[Hkpg Hrsn]]</f>
        <v>16.508711507293356</v>
      </c>
      <c r="K32" s="10">
        <f>COUNTIF('HSKG detail'!A:A,A32)</f>
        <v>3</v>
      </c>
      <c r="L32" s="13">
        <v>17.760000000000002</v>
      </c>
      <c r="M32" s="13">
        <v>19.09</v>
      </c>
      <c r="N32" s="13">
        <v>18.88</v>
      </c>
      <c r="O32" s="13">
        <v>18.576666666666668</v>
      </c>
      <c r="P32" s="10">
        <f>COUNTIFS('HSKG detail'!$A:$A,$A32,'HSKG detail'!$C:$C,"&lt;"&amp;N32)</f>
        <v>1</v>
      </c>
      <c r="Q32" s="10">
        <f>COUNTIFS('HSKG detail'!$A:$A,$A32,'HSKG detail'!$C:$C,"&lt;"&amp;O32)</f>
        <v>1</v>
      </c>
      <c r="R32" s="10">
        <f>COUNTIFS('HSKG detail'!$A:$A,$A32,'HSKG detail'!$C:$C,"&lt;"&amp;$AE$1)</f>
        <v>3</v>
      </c>
      <c r="S32" s="10">
        <f>COUNTIFS('HSKG detail'!$A:$A,$A32,'HSKG detail'!$C:$C,"&lt;"&amp;$AE$2)</f>
        <v>0</v>
      </c>
      <c r="T32" s="10">
        <f>COUNTIFS('HSKG detail'!$A:$A,$A32,'HSKG detail'!$C:$C,"&lt;"&amp;$AE$3)</f>
        <v>0</v>
      </c>
      <c r="U32" s="12">
        <f>+Housekeeping_sample[[#This Row],[Hkpg median]]*Housekeeping_sample[[#This Row],[Hkpg Hrsn]]</f>
        <v>93191.679999999993</v>
      </c>
      <c r="V32" s="12">
        <f>+Housekeeping_sample[[#This Row],[Hkpg average]]*Housekeeping_sample[[#This Row],[Hkpg Hrsn]]</f>
        <v>91694.426666666666</v>
      </c>
      <c r="W32" s="14">
        <f>Housekeeping_sample[[#This Row],[Est median wage cost ]]/Housekeeping_sample[[#This Row],[Costs Rate Estimator]]</f>
        <v>1.143638617202744</v>
      </c>
      <c r="X32" s="14">
        <f>Housekeeping_sample[[#This Row],[Est average wage cost]]/Housekeeping_sample[[#This Row],[Costs Rate Estimator]]</f>
        <v>1.1252644798147762</v>
      </c>
      <c r="Y32" s="14">
        <f>+Housekeeping_sample[[#This Row],[Hkpg min]]/Housekeeping_sample[[#This Row],[Hkpg median]]</f>
        <v>0.94067796610169507</v>
      </c>
      <c r="Z32" s="14">
        <f>+Housekeeping_sample[[#This Row],[Hkpg max]]/Housekeeping_sample[[#This Row],[Hkpg median]]</f>
        <v>1.0111228813559323</v>
      </c>
      <c r="AA32" s="10">
        <f>VLOOKUP(A32,Summary!$1:$1048576,2,FALSE)</f>
        <v>1</v>
      </c>
    </row>
    <row r="33" spans="1:27" x14ac:dyDescent="0.55000000000000004">
      <c r="A33" s="10">
        <v>861</v>
      </c>
      <c r="B33" s="10" t="s">
        <v>54</v>
      </c>
      <c r="C33" s="10">
        <f>VLOOKUP($A33,'SAS Data'!$1:$1048576,MATCH(C$1,'SAS Data'!$3:$3,0),FALSE)</f>
        <v>4</v>
      </c>
      <c r="D33" s="10">
        <f>VLOOKUP($A33,'SAS Data'!$1:$1048576,MATCH(D$1,'SAS Data'!$3:$3,0),FALSE)</f>
        <v>1</v>
      </c>
      <c r="E33" s="10">
        <f t="shared" si="1"/>
        <v>5</v>
      </c>
      <c r="F33" s="11">
        <f>VLOOKUP($A33,'SAS Data'!$1:$1048576,MATCH(F$1,'SAS Data'!$3:$3,0),FALSE)</f>
        <v>16.521558872305139</v>
      </c>
      <c r="G33" s="12">
        <f>VLOOKUP($A33,'SAS Data'!$1:$1048576,MATCH(G$1,'SAS Data'!$3:$3,0),FALSE)</f>
        <v>9648</v>
      </c>
      <c r="H33" s="12">
        <f>+Housekeeping_sample[[#This Row],[Hkpg Cph]]*Housekeeping_sample[[#This Row],[Hkpg Hrsn]]</f>
        <v>159399.99999999997</v>
      </c>
      <c r="I33" s="12">
        <f>VLOOKUP(Housekeeping_sample[[#This Row],[Random ID]],'Estimator data 120523'!$A:$H,8,FALSE)</f>
        <v>159400</v>
      </c>
      <c r="J33" s="11">
        <f>+Housekeeping_sample[[#This Row],[Costs Rate Estimator]]/Housekeeping_sample[[#This Row],[Hkpg Hrsn]]</f>
        <v>16.521558872305143</v>
      </c>
      <c r="K33" s="10">
        <f>COUNTIF('HSKG detail'!A:A,A33)</f>
        <v>8</v>
      </c>
      <c r="L33" s="13">
        <v>17</v>
      </c>
      <c r="M33" s="13">
        <v>18.239999999999998</v>
      </c>
      <c r="N33" s="13">
        <v>17.295000000000002</v>
      </c>
      <c r="O33" s="13">
        <v>17.53875</v>
      </c>
      <c r="P33" s="10">
        <f>COUNTIFS('HSKG detail'!$A:$A,$A33,'HSKG detail'!$C:$C,"&lt;"&amp;N33)</f>
        <v>4</v>
      </c>
      <c r="Q33" s="10">
        <f>COUNTIFS('HSKG detail'!$A:$A,$A33,'HSKG detail'!$C:$C,"&lt;"&amp;O33)</f>
        <v>5</v>
      </c>
      <c r="R33" s="10">
        <f>COUNTIFS('HSKG detail'!$A:$A,$A33,'HSKG detail'!$C:$C,"&lt;"&amp;$AE$1)</f>
        <v>8</v>
      </c>
      <c r="S33" s="10">
        <f>COUNTIFS('HSKG detail'!$A:$A,$A33,'HSKG detail'!$C:$C,"&lt;"&amp;$AE$2)</f>
        <v>3</v>
      </c>
      <c r="T33" s="10">
        <f>COUNTIFS('HSKG detail'!$A:$A,$A33,'HSKG detail'!$C:$C,"&lt;"&amp;$AE$3)</f>
        <v>4</v>
      </c>
      <c r="U33" s="12">
        <f>+Housekeeping_sample[[#This Row],[Hkpg median]]*Housekeeping_sample[[#This Row],[Hkpg Hrsn]]</f>
        <v>166862.16</v>
      </c>
      <c r="V33" s="12">
        <f>+Housekeeping_sample[[#This Row],[Hkpg average]]*Housekeeping_sample[[#This Row],[Hkpg Hrsn]]</f>
        <v>169213.86000000002</v>
      </c>
      <c r="W33" s="14">
        <f>Housekeeping_sample[[#This Row],[Est median wage cost ]]/Housekeeping_sample[[#This Row],[Costs Rate Estimator]]</f>
        <v>1.0468140526976162</v>
      </c>
      <c r="X33" s="14">
        <f>Housekeeping_sample[[#This Row],[Est average wage cost]]/Housekeeping_sample[[#This Row],[Costs Rate Estimator]]</f>
        <v>1.0615675031367628</v>
      </c>
      <c r="Y33" s="14">
        <f>+Housekeeping_sample[[#This Row],[Hkpg min]]/Housekeeping_sample[[#This Row],[Hkpg median]]</f>
        <v>0.98294304712344593</v>
      </c>
      <c r="Z33" s="14">
        <f>+Housekeeping_sample[[#This Row],[Hkpg max]]/Housekeeping_sample[[#This Row],[Hkpg median]]</f>
        <v>1.0546400693842148</v>
      </c>
      <c r="AA33" s="10">
        <f>VLOOKUP(A33,Summary!$1:$1048576,2,FALSE)</f>
        <v>3</v>
      </c>
    </row>
    <row r="34" spans="1:27" x14ac:dyDescent="0.55000000000000004">
      <c r="A34" s="10">
        <v>218</v>
      </c>
      <c r="B34" s="10" t="s">
        <v>54</v>
      </c>
      <c r="C34" s="10">
        <f>VLOOKUP($A34,'SAS Data'!$1:$1048576,MATCH(C$1,'SAS Data'!$3:$3,0),FALSE)</f>
        <v>5</v>
      </c>
      <c r="D34" s="10">
        <f>VLOOKUP($A34,'SAS Data'!$1:$1048576,MATCH(D$1,'SAS Data'!$3:$3,0),FALSE)</f>
        <v>2</v>
      </c>
      <c r="E34" s="10">
        <f t="shared" si="1"/>
        <v>7</v>
      </c>
      <c r="F34" s="11">
        <f>VLOOKUP($A34,'SAS Data'!$1:$1048576,MATCH(F$1,'SAS Data'!$3:$3,0),FALSE)</f>
        <v>16.555671651537907</v>
      </c>
      <c r="G34" s="12">
        <f>VLOOKUP($A34,'SAS Data'!$1:$1048576,MATCH(G$1,'SAS Data'!$3:$3,0),FALSE)</f>
        <v>15313</v>
      </c>
      <c r="H34" s="12">
        <f>+Housekeeping_sample[[#This Row],[Hkpg Cph]]*Housekeeping_sample[[#This Row],[Hkpg Hrsn]]</f>
        <v>253516.99999999997</v>
      </c>
      <c r="I34" s="12">
        <f>VLOOKUP(Housekeeping_sample[[#This Row],[Random ID]],'Estimator data 120523'!$A:$H,8,FALSE)</f>
        <v>253517</v>
      </c>
      <c r="J34" s="11">
        <f>+Housekeeping_sample[[#This Row],[Costs Rate Estimator]]/Housekeeping_sample[[#This Row],[Hkpg Hrsn]]</f>
        <v>16.55567165153791</v>
      </c>
      <c r="K34" s="10">
        <f>COUNTIF('HSKG detail'!A:A,A34)</f>
        <v>11</v>
      </c>
      <c r="L34" s="13">
        <v>17</v>
      </c>
      <c r="M34" s="13">
        <v>19</v>
      </c>
      <c r="N34" s="13">
        <v>17</v>
      </c>
      <c r="O34" s="13">
        <v>17.545454545454547</v>
      </c>
      <c r="P34" s="10">
        <f>COUNTIFS('HSKG detail'!$A:$A,$A34,'HSKG detail'!$C:$C,"&lt;"&amp;N34)</f>
        <v>0</v>
      </c>
      <c r="Q34" s="10">
        <f>COUNTIFS('HSKG detail'!$A:$A,$A34,'HSKG detail'!$C:$C,"&lt;"&amp;O34)</f>
        <v>6</v>
      </c>
      <c r="R34" s="10">
        <f>COUNTIFS('HSKG detail'!$A:$A,$A34,'HSKG detail'!$C:$C,"&lt;"&amp;$AE$1)</f>
        <v>11</v>
      </c>
      <c r="S34" s="10">
        <f>COUNTIFS('HSKG detail'!$A:$A,$A34,'HSKG detail'!$C:$C,"&lt;"&amp;$AE$2)</f>
        <v>6</v>
      </c>
      <c r="T34" s="10">
        <f>COUNTIFS('HSKG detail'!$A:$A,$A34,'HSKG detail'!$C:$C,"&lt;"&amp;$AE$3)</f>
        <v>6</v>
      </c>
      <c r="U34" s="12">
        <f>+Housekeeping_sample[[#This Row],[Hkpg median]]*Housekeeping_sample[[#This Row],[Hkpg Hrsn]]</f>
        <v>260321</v>
      </c>
      <c r="V34" s="12">
        <f>+Housekeeping_sample[[#This Row],[Hkpg average]]*Housekeeping_sample[[#This Row],[Hkpg Hrsn]]</f>
        <v>268673.54545454547</v>
      </c>
      <c r="W34" s="14">
        <f>Housekeeping_sample[[#This Row],[Est median wage cost ]]/Housekeeping_sample[[#This Row],[Costs Rate Estimator]]</f>
        <v>1.0268384368701113</v>
      </c>
      <c r="X34" s="14">
        <f>Housekeeping_sample[[#This Row],[Est average wage cost]]/Housekeeping_sample[[#This Row],[Costs Rate Estimator]]</f>
        <v>1.0597851246841257</v>
      </c>
      <c r="Y34" s="14">
        <f>+Housekeeping_sample[[#This Row],[Hkpg min]]/Housekeeping_sample[[#This Row],[Hkpg median]]</f>
        <v>1</v>
      </c>
      <c r="Z34" s="14">
        <f>+Housekeeping_sample[[#This Row],[Hkpg max]]/Housekeeping_sample[[#This Row],[Hkpg median]]</f>
        <v>1.1176470588235294</v>
      </c>
      <c r="AA34" s="10">
        <f>VLOOKUP(A34,Summary!$1:$1048576,2,FALSE)</f>
        <v>2</v>
      </c>
    </row>
    <row r="35" spans="1:27" x14ac:dyDescent="0.55000000000000004">
      <c r="A35" s="10">
        <v>535</v>
      </c>
      <c r="B35" s="10" t="s">
        <v>54</v>
      </c>
      <c r="C35" s="10">
        <f>VLOOKUP($A35,'SAS Data'!$1:$1048576,MATCH(C$1,'SAS Data'!$3:$3,0),FALSE)</f>
        <v>6</v>
      </c>
      <c r="D35" s="10">
        <f>VLOOKUP($A35,'SAS Data'!$1:$1048576,MATCH(D$1,'SAS Data'!$3:$3,0),FALSE)</f>
        <v>0</v>
      </c>
      <c r="E35" s="10">
        <f t="shared" si="1"/>
        <v>6</v>
      </c>
      <c r="F35" s="11">
        <f>VLOOKUP($A35,'SAS Data'!$1:$1048576,MATCH(F$1,'SAS Data'!$3:$3,0),FALSE)</f>
        <v>16.247736873868437</v>
      </c>
      <c r="G35" s="12">
        <f>VLOOKUP($A35,'SAS Data'!$1:$1048576,MATCH(G$1,'SAS Data'!$3:$3,0),FALSE)</f>
        <v>3314</v>
      </c>
      <c r="H35" s="12">
        <f>+Housekeeping_sample[[#This Row],[Hkpg Cph]]*Housekeeping_sample[[#This Row],[Hkpg Hrsn]]</f>
        <v>53845</v>
      </c>
      <c r="I35" s="12">
        <f>VLOOKUP(Housekeeping_sample[[#This Row],[Random ID]],'Estimator data 120523'!$A:$H,8,FALSE)</f>
        <v>55131</v>
      </c>
      <c r="J35" s="11">
        <f>+Housekeeping_sample[[#This Row],[Costs Rate Estimator]]/Housekeeping_sample[[#This Row],[Hkpg Hrsn]]</f>
        <v>16.635787567893782</v>
      </c>
      <c r="K35" s="10">
        <f>COUNTIF('HSKG detail'!A:A,A35)</f>
        <v>5</v>
      </c>
      <c r="L35" s="13">
        <v>16.190000000000001</v>
      </c>
      <c r="M35" s="13">
        <v>18.98</v>
      </c>
      <c r="N35" s="13">
        <v>16.52</v>
      </c>
      <c r="O35" s="13">
        <v>16.945999999999998</v>
      </c>
      <c r="P35" s="10">
        <f>COUNTIFS('HSKG detail'!$A:$A,$A35,'HSKG detail'!$C:$C,"&lt;"&amp;N35)</f>
        <v>2</v>
      </c>
      <c r="Q35" s="10">
        <f>COUNTIFS('HSKG detail'!$A:$A,$A35,'HSKG detail'!$C:$C,"&lt;"&amp;O35)</f>
        <v>4</v>
      </c>
      <c r="R35" s="10">
        <f>COUNTIFS('HSKG detail'!$A:$A,$A35,'HSKG detail'!$C:$C,"&lt;"&amp;$AE$1)</f>
        <v>5</v>
      </c>
      <c r="S35" s="10">
        <f>COUNTIFS('HSKG detail'!$A:$A,$A35,'HSKG detail'!$C:$C,"&lt;"&amp;$AE$2)</f>
        <v>4</v>
      </c>
      <c r="T35" s="10">
        <f>COUNTIFS('HSKG detail'!$A:$A,$A35,'HSKG detail'!$C:$C,"&lt;"&amp;$AE$3)</f>
        <v>4</v>
      </c>
      <c r="U35" s="12">
        <f>+Housekeeping_sample[[#This Row],[Hkpg median]]*Housekeeping_sample[[#This Row],[Hkpg Hrsn]]</f>
        <v>54747.28</v>
      </c>
      <c r="V35" s="12">
        <f>+Housekeeping_sample[[#This Row],[Hkpg average]]*Housekeeping_sample[[#This Row],[Hkpg Hrsn]]</f>
        <v>56159.043999999994</v>
      </c>
      <c r="W35" s="14">
        <f>Housekeeping_sample[[#This Row],[Est median wage cost ]]/Housekeeping_sample[[#This Row],[Costs Rate Estimator]]</f>
        <v>0.99303985053780996</v>
      </c>
      <c r="X35" s="14">
        <f>Housekeeping_sample[[#This Row],[Est average wage cost]]/Housekeeping_sample[[#This Row],[Costs Rate Estimator]]</f>
        <v>1.0186472946255283</v>
      </c>
      <c r="Y35" s="14">
        <f>+Housekeeping_sample[[#This Row],[Hkpg min]]/Housekeeping_sample[[#This Row],[Hkpg median]]</f>
        <v>0.9800242130750606</v>
      </c>
      <c r="Z35" s="14">
        <f>+Housekeeping_sample[[#This Row],[Hkpg max]]/Housekeeping_sample[[#This Row],[Hkpg median]]</f>
        <v>1.1489104116222761</v>
      </c>
      <c r="AA35" s="10">
        <f>VLOOKUP(A35,Summary!$1:$1048576,2,FALSE)</f>
        <v>3</v>
      </c>
    </row>
    <row r="36" spans="1:27" x14ac:dyDescent="0.55000000000000004">
      <c r="A36" s="10">
        <v>771</v>
      </c>
      <c r="B36" s="10" t="s">
        <v>54</v>
      </c>
      <c r="C36" s="10">
        <f>VLOOKUP($A36,'SAS Data'!$1:$1048576,MATCH(C$1,'SAS Data'!$3:$3,0),FALSE)</f>
        <v>2</v>
      </c>
      <c r="D36" s="10">
        <f>VLOOKUP($A36,'SAS Data'!$1:$1048576,MATCH(D$1,'SAS Data'!$3:$3,0),FALSE)</f>
        <v>0</v>
      </c>
      <c r="E36" s="10">
        <f t="shared" si="1"/>
        <v>2</v>
      </c>
      <c r="F36" s="11">
        <f>VLOOKUP($A36,'SAS Data'!$1:$1048576,MATCH(F$1,'SAS Data'!$3:$3,0),FALSE)</f>
        <v>17.35874255188001</v>
      </c>
      <c r="G36" s="12">
        <f>VLOOKUP($A36,'SAS Data'!$1:$1048576,MATCH(G$1,'SAS Data'!$3:$3,0),FALSE)</f>
        <v>4867</v>
      </c>
      <c r="H36" s="12">
        <f>+Housekeeping_sample[[#This Row],[Hkpg Cph]]*Housekeeping_sample[[#This Row],[Hkpg Hrsn]]</f>
        <v>84485</v>
      </c>
      <c r="I36" s="12">
        <f>VLOOKUP(Housekeeping_sample[[#This Row],[Random ID]],'Estimator data 120523'!$A:$H,8,FALSE)</f>
        <v>81395</v>
      </c>
      <c r="J36" s="11">
        <f>+Housekeeping_sample[[#This Row],[Costs Rate Estimator]]/Housekeeping_sample[[#This Row],[Hkpg Hrsn]]</f>
        <v>16.723854530511609</v>
      </c>
      <c r="K36" s="10">
        <f>COUNTIF('HSKG detail'!A:A,A36)</f>
        <v>3</v>
      </c>
      <c r="L36" s="13">
        <v>16.3</v>
      </c>
      <c r="M36" s="13">
        <v>18.64</v>
      </c>
      <c r="N36" s="13">
        <v>16.48</v>
      </c>
      <c r="O36" s="13">
        <v>17.14</v>
      </c>
      <c r="P36" s="10">
        <f>COUNTIFS('HSKG detail'!$A:$A,$A36,'HSKG detail'!$C:$C,"&lt;"&amp;N36)</f>
        <v>1</v>
      </c>
      <c r="Q36" s="10">
        <f>COUNTIFS('HSKG detail'!$A:$A,$A36,'HSKG detail'!$C:$C,"&lt;"&amp;O36)</f>
        <v>2</v>
      </c>
      <c r="R36" s="10">
        <f>COUNTIFS('HSKG detail'!$A:$A,$A36,'HSKG detail'!$C:$C,"&lt;"&amp;$AE$1)</f>
        <v>3</v>
      </c>
      <c r="S36" s="10">
        <f>COUNTIFS('HSKG detail'!$A:$A,$A36,'HSKG detail'!$C:$C,"&lt;"&amp;$AE$2)</f>
        <v>2</v>
      </c>
      <c r="T36" s="10">
        <f>COUNTIFS('HSKG detail'!$A:$A,$A36,'HSKG detail'!$C:$C,"&lt;"&amp;$AE$3)</f>
        <v>2</v>
      </c>
      <c r="U36" s="12">
        <f>+Housekeeping_sample[[#This Row],[Hkpg median]]*Housekeeping_sample[[#This Row],[Hkpg Hrsn]]</f>
        <v>80208.160000000003</v>
      </c>
      <c r="V36" s="12">
        <f>+Housekeeping_sample[[#This Row],[Hkpg average]]*Housekeeping_sample[[#This Row],[Hkpg Hrsn]]</f>
        <v>83420.38</v>
      </c>
      <c r="W36" s="14">
        <f>Housekeeping_sample[[#This Row],[Est median wage cost ]]/Housekeeping_sample[[#This Row],[Costs Rate Estimator]]</f>
        <v>0.98541876036611586</v>
      </c>
      <c r="X36" s="14">
        <f>Housekeeping_sample[[#This Row],[Est average wage cost]]/Housekeeping_sample[[#This Row],[Costs Rate Estimator]]</f>
        <v>1.0248833466429141</v>
      </c>
      <c r="Y36" s="14">
        <f>+Housekeeping_sample[[#This Row],[Hkpg min]]/Housekeeping_sample[[#This Row],[Hkpg median]]</f>
        <v>0.98907766990291268</v>
      </c>
      <c r="Z36" s="14">
        <f>+Housekeeping_sample[[#This Row],[Hkpg max]]/Housekeeping_sample[[#This Row],[Hkpg median]]</f>
        <v>1.1310679611650485</v>
      </c>
      <c r="AA36" s="10">
        <f>VLOOKUP(A36,Summary!$1:$1048576,2,FALSE)</f>
        <v>2</v>
      </c>
    </row>
    <row r="37" spans="1:27" x14ac:dyDescent="0.55000000000000004">
      <c r="A37" s="10">
        <v>234</v>
      </c>
      <c r="B37" s="10" t="s">
        <v>54</v>
      </c>
      <c r="C37" s="10">
        <f>VLOOKUP($A37,'SAS Data'!$1:$1048576,MATCH(C$1,'SAS Data'!$3:$3,0),FALSE)</f>
        <v>9</v>
      </c>
      <c r="D37" s="10">
        <f>VLOOKUP($A37,'SAS Data'!$1:$1048576,MATCH(D$1,'SAS Data'!$3:$3,0),FALSE)</f>
        <v>1</v>
      </c>
      <c r="E37" s="10">
        <f t="shared" si="1"/>
        <v>10</v>
      </c>
      <c r="F37" s="11">
        <f>VLOOKUP($A37,'SAS Data'!$1:$1048576,MATCH(F$1,'SAS Data'!$3:$3,0),FALSE)</f>
        <v>16.728974342649774</v>
      </c>
      <c r="G37" s="12">
        <f>VLOOKUP($A37,'SAS Data'!$1:$1048576,MATCH(G$1,'SAS Data'!$3:$3,0),FALSE)</f>
        <v>15707</v>
      </c>
      <c r="H37" s="12">
        <f>+Housekeeping_sample[[#This Row],[Hkpg Cph]]*Housekeeping_sample[[#This Row],[Hkpg Hrsn]]</f>
        <v>262762</v>
      </c>
      <c r="I37" s="12">
        <f>VLOOKUP(Housekeeping_sample[[#This Row],[Random ID]],'Estimator data 120523'!$A:$H,8,FALSE)</f>
        <v>262762</v>
      </c>
      <c r="J37" s="11">
        <f>+Housekeeping_sample[[#This Row],[Costs Rate Estimator]]/Housekeeping_sample[[#This Row],[Hkpg Hrsn]]</f>
        <v>16.728974342649774</v>
      </c>
      <c r="K37" s="10">
        <f>COUNTIF('HSKG detail'!A:A,A37)</f>
        <v>9</v>
      </c>
      <c r="L37" s="13">
        <v>15</v>
      </c>
      <c r="M37" s="13">
        <v>17.5</v>
      </c>
      <c r="N37" s="13">
        <v>16</v>
      </c>
      <c r="O37" s="13">
        <v>16.138888888888889</v>
      </c>
      <c r="P37" s="10">
        <f>COUNTIFS('HSKG detail'!$A:$A,$A37,'HSKG detail'!$C:$C,"&lt;"&amp;N37)</f>
        <v>3</v>
      </c>
      <c r="Q37" s="10">
        <f>COUNTIFS('HSKG detail'!$A:$A,$A37,'HSKG detail'!$C:$C,"&lt;"&amp;O37)</f>
        <v>6</v>
      </c>
      <c r="R37" s="10">
        <f>COUNTIFS('HSKG detail'!$A:$A,$A37,'HSKG detail'!$C:$C,"&lt;"&amp;$AE$1)</f>
        <v>9</v>
      </c>
      <c r="S37" s="10">
        <f>COUNTIFS('HSKG detail'!$A:$A,$A37,'HSKG detail'!$C:$C,"&lt;"&amp;$AE$2)</f>
        <v>8</v>
      </c>
      <c r="T37" s="10">
        <f>COUNTIFS('HSKG detail'!$A:$A,$A37,'HSKG detail'!$C:$C,"&lt;"&amp;$AE$3)</f>
        <v>8</v>
      </c>
      <c r="U37" s="12">
        <f>+Housekeeping_sample[[#This Row],[Hkpg median]]*Housekeeping_sample[[#This Row],[Hkpg Hrsn]]</f>
        <v>251312</v>
      </c>
      <c r="V37" s="12">
        <f>+Housekeeping_sample[[#This Row],[Hkpg average]]*Housekeeping_sample[[#This Row],[Hkpg Hrsn]]</f>
        <v>253493.52777777778</v>
      </c>
      <c r="W37" s="14">
        <f>Housekeeping_sample[[#This Row],[Est median wage cost ]]/Housekeeping_sample[[#This Row],[Costs Rate Estimator]]</f>
        <v>0.95642444493496015</v>
      </c>
      <c r="X37" s="14">
        <f>Housekeeping_sample[[#This Row],[Est average wage cost]]/Housekeeping_sample[[#This Row],[Costs Rate Estimator]]</f>
        <v>0.96472674046390949</v>
      </c>
      <c r="Y37" s="14">
        <f>+Housekeeping_sample[[#This Row],[Hkpg min]]/Housekeeping_sample[[#This Row],[Hkpg median]]</f>
        <v>0.9375</v>
      </c>
      <c r="Z37" s="14">
        <f>+Housekeeping_sample[[#This Row],[Hkpg max]]/Housekeeping_sample[[#This Row],[Hkpg median]]</f>
        <v>1.09375</v>
      </c>
      <c r="AA37" s="10">
        <f>VLOOKUP(A37,Summary!$1:$1048576,2,FALSE)</f>
        <v>3</v>
      </c>
    </row>
    <row r="38" spans="1:27" x14ac:dyDescent="0.55000000000000004">
      <c r="A38" s="10">
        <v>316</v>
      </c>
      <c r="B38" s="10" t="s">
        <v>54</v>
      </c>
      <c r="C38" s="10">
        <f>VLOOKUP($A38,'SAS Data'!$1:$1048576,MATCH(C$1,'SAS Data'!$3:$3,0),FALSE)</f>
        <v>3</v>
      </c>
      <c r="D38" s="10">
        <f>VLOOKUP($A38,'SAS Data'!$1:$1048576,MATCH(D$1,'SAS Data'!$3:$3,0),FALSE)</f>
        <v>1</v>
      </c>
      <c r="E38" s="10">
        <f t="shared" si="1"/>
        <v>4</v>
      </c>
      <c r="F38" s="11">
        <f>VLOOKUP($A38,'SAS Data'!$1:$1048576,MATCH(F$1,'SAS Data'!$3:$3,0),FALSE)</f>
        <v>16.816181862625275</v>
      </c>
      <c r="G38" s="12">
        <f>VLOOKUP($A38,'SAS Data'!$1:$1048576,MATCH(G$1,'SAS Data'!$3:$3,0),FALSE)</f>
        <v>8182</v>
      </c>
      <c r="H38" s="12">
        <f>+Housekeeping_sample[[#This Row],[Hkpg Cph]]*Housekeeping_sample[[#This Row],[Hkpg Hrsn]]</f>
        <v>137590</v>
      </c>
      <c r="I38" s="12">
        <f>VLOOKUP(Housekeeping_sample[[#This Row],[Random ID]],'Estimator data 120523'!$A:$H,8,FALSE)</f>
        <v>137590</v>
      </c>
      <c r="J38" s="11">
        <f>+Housekeeping_sample[[#This Row],[Costs Rate Estimator]]/Housekeeping_sample[[#This Row],[Hkpg Hrsn]]</f>
        <v>16.816181862625275</v>
      </c>
      <c r="K38" s="10">
        <f>COUNTIF('HSKG detail'!A:A,A38)</f>
        <v>5</v>
      </c>
      <c r="L38" s="13">
        <v>17</v>
      </c>
      <c r="M38" s="13">
        <v>20</v>
      </c>
      <c r="N38" s="13">
        <v>18.54</v>
      </c>
      <c r="O38" s="13">
        <v>18.308</v>
      </c>
      <c r="P38" s="10">
        <f>COUNTIFS('HSKG detail'!$A:$A,$A38,'HSKG detail'!$C:$C,"&lt;"&amp;N38)</f>
        <v>2</v>
      </c>
      <c r="Q38" s="10">
        <f>COUNTIFS('HSKG detail'!$A:$A,$A38,'HSKG detail'!$C:$C,"&lt;"&amp;O38)</f>
        <v>2</v>
      </c>
      <c r="R38" s="10">
        <f>COUNTIFS('HSKG detail'!$A:$A,$A38,'HSKG detail'!$C:$C,"&lt;"&amp;$AE$1)</f>
        <v>5</v>
      </c>
      <c r="S38" s="10">
        <f>COUNTIFS('HSKG detail'!$A:$A,$A38,'HSKG detail'!$C:$C,"&lt;"&amp;$AE$2)</f>
        <v>2</v>
      </c>
      <c r="T38" s="10">
        <f>COUNTIFS('HSKG detail'!$A:$A,$A38,'HSKG detail'!$C:$C,"&lt;"&amp;$AE$3)</f>
        <v>2</v>
      </c>
      <c r="U38" s="12">
        <f>+Housekeeping_sample[[#This Row],[Hkpg median]]*Housekeeping_sample[[#This Row],[Hkpg Hrsn]]</f>
        <v>151694.28</v>
      </c>
      <c r="V38" s="12">
        <f>+Housekeeping_sample[[#This Row],[Hkpg average]]*Housekeeping_sample[[#This Row],[Hkpg Hrsn]]</f>
        <v>149796.05600000001</v>
      </c>
      <c r="W38" s="14">
        <f>Housekeeping_sample[[#This Row],[Est median wage cost ]]/Housekeeping_sample[[#This Row],[Costs Rate Estimator]]</f>
        <v>1.1025094847009229</v>
      </c>
      <c r="X38" s="14">
        <f>Housekeeping_sample[[#This Row],[Est average wage cost]]/Housekeeping_sample[[#This Row],[Costs Rate Estimator]]</f>
        <v>1.0887132495094121</v>
      </c>
      <c r="Y38" s="14">
        <f>+Housekeeping_sample[[#This Row],[Hkpg min]]/Housekeeping_sample[[#This Row],[Hkpg median]]</f>
        <v>0.91693635382955774</v>
      </c>
      <c r="Z38" s="14">
        <f>+Housekeeping_sample[[#This Row],[Hkpg max]]/Housekeeping_sample[[#This Row],[Hkpg median]]</f>
        <v>1.0787486515641855</v>
      </c>
      <c r="AA38" s="10">
        <f>VLOOKUP(A38,Summary!$1:$1048576,2,FALSE)</f>
        <v>3</v>
      </c>
    </row>
    <row r="39" spans="1:27" x14ac:dyDescent="0.55000000000000004">
      <c r="A39" s="10">
        <v>543</v>
      </c>
      <c r="B39" s="10" t="s">
        <v>54</v>
      </c>
      <c r="C39" s="10">
        <f>VLOOKUP($A39,'SAS Data'!$1:$1048576,MATCH(C$1,'SAS Data'!$3:$3,0),FALSE)</f>
        <v>1</v>
      </c>
      <c r="D39" s="10">
        <f>VLOOKUP($A39,'SAS Data'!$1:$1048576,MATCH(D$1,'SAS Data'!$3:$3,0),FALSE)</f>
        <v>0</v>
      </c>
      <c r="E39" s="10">
        <f t="shared" si="1"/>
        <v>1</v>
      </c>
      <c r="F39" s="11">
        <f>VLOOKUP($A39,'SAS Data'!$1:$1048576,MATCH(F$1,'SAS Data'!$3:$3,0),FALSE)</f>
        <v>16.408610567514678</v>
      </c>
      <c r="G39" s="12">
        <f>VLOOKUP($A39,'SAS Data'!$1:$1048576,MATCH(G$1,'SAS Data'!$3:$3,0),FALSE)</f>
        <v>2555</v>
      </c>
      <c r="H39" s="12">
        <f>+Housekeeping_sample[[#This Row],[Hkpg Cph]]*Housekeeping_sample[[#This Row],[Hkpg Hrsn]]</f>
        <v>41924</v>
      </c>
      <c r="I39" s="12">
        <f>VLOOKUP(Housekeeping_sample[[#This Row],[Random ID]],'Estimator data 120523'!$A:$H,8,FALSE)</f>
        <v>43048</v>
      </c>
      <c r="J39" s="11">
        <f>+Housekeeping_sample[[#This Row],[Costs Rate Estimator]]/Housekeeping_sample[[#This Row],[Hkpg Hrsn]]</f>
        <v>16.848532289628182</v>
      </c>
      <c r="K39" s="10">
        <f>COUNTIF('HSKG detail'!A:A,A39)</f>
        <v>2</v>
      </c>
      <c r="L39" s="13">
        <v>13.77</v>
      </c>
      <c r="M39" s="13">
        <v>15.27</v>
      </c>
      <c r="N39" s="13">
        <v>14.52</v>
      </c>
      <c r="O39" s="13">
        <v>14.52</v>
      </c>
      <c r="P39" s="10">
        <f>COUNTIFS('HSKG detail'!$A:$A,$A39,'HSKG detail'!$C:$C,"&lt;"&amp;N39)</f>
        <v>1</v>
      </c>
      <c r="Q39" s="10">
        <f>COUNTIFS('HSKG detail'!$A:$A,$A39,'HSKG detail'!$C:$C,"&lt;"&amp;O39)</f>
        <v>1</v>
      </c>
      <c r="R39" s="10">
        <f>COUNTIFS('HSKG detail'!$A:$A,$A39,'HSKG detail'!$C:$C,"&lt;"&amp;$AE$1)</f>
        <v>2</v>
      </c>
      <c r="S39" s="10">
        <f>COUNTIFS('HSKG detail'!$A:$A,$A39,'HSKG detail'!$C:$C,"&lt;"&amp;$AE$2)</f>
        <v>2</v>
      </c>
      <c r="T39" s="10">
        <f>COUNTIFS('HSKG detail'!$A:$A,$A39,'HSKG detail'!$C:$C,"&lt;"&amp;$AE$3)</f>
        <v>2</v>
      </c>
      <c r="U39" s="12">
        <f>+Housekeeping_sample[[#This Row],[Hkpg median]]*Housekeeping_sample[[#This Row],[Hkpg Hrsn]]</f>
        <v>37098.6</v>
      </c>
      <c r="V39" s="12">
        <f>+Housekeeping_sample[[#This Row],[Hkpg average]]*Housekeeping_sample[[#This Row],[Hkpg Hrsn]]</f>
        <v>37098.6</v>
      </c>
      <c r="W39" s="14">
        <f>Housekeeping_sample[[#This Row],[Est median wage cost ]]/Housekeeping_sample[[#This Row],[Costs Rate Estimator]]</f>
        <v>0.86179613454748183</v>
      </c>
      <c r="X39" s="14">
        <f>Housekeeping_sample[[#This Row],[Est average wage cost]]/Housekeeping_sample[[#This Row],[Costs Rate Estimator]]</f>
        <v>0.86179613454748183</v>
      </c>
      <c r="Y39" s="14">
        <f>+Housekeeping_sample[[#This Row],[Hkpg min]]/Housekeeping_sample[[#This Row],[Hkpg median]]</f>
        <v>0.94834710743801653</v>
      </c>
      <c r="Z39" s="14">
        <f>+Housekeeping_sample[[#This Row],[Hkpg max]]/Housekeeping_sample[[#This Row],[Hkpg median]]</f>
        <v>1.0516528925619835</v>
      </c>
      <c r="AA39" s="10">
        <f>VLOOKUP(A39,Summary!$1:$1048576,2,FALSE)</f>
        <v>1</v>
      </c>
    </row>
    <row r="40" spans="1:27" x14ac:dyDescent="0.55000000000000004">
      <c r="A40" s="10">
        <v>910</v>
      </c>
      <c r="B40" s="10" t="s">
        <v>54</v>
      </c>
      <c r="C40" s="10">
        <f>VLOOKUP($A40,'SAS Data'!$1:$1048576,MATCH(C$1,'SAS Data'!$3:$3,0),FALSE)</f>
        <v>6</v>
      </c>
      <c r="D40" s="10">
        <f>VLOOKUP($A40,'SAS Data'!$1:$1048576,MATCH(D$1,'SAS Data'!$3:$3,0),FALSE)</f>
        <v>2</v>
      </c>
      <c r="E40" s="10">
        <f t="shared" si="1"/>
        <v>8</v>
      </c>
      <c r="F40" s="11">
        <f>VLOOKUP($A40,'SAS Data'!$1:$1048576,MATCH(F$1,'SAS Data'!$3:$3,0),FALSE)</f>
        <v>18.210127115668236</v>
      </c>
      <c r="G40" s="12">
        <f>VLOOKUP($A40,'SAS Data'!$1:$1048576,MATCH(G$1,'SAS Data'!$3:$3,0),FALSE)</f>
        <v>14239</v>
      </c>
      <c r="H40" s="12">
        <f>+Housekeeping_sample[[#This Row],[Hkpg Cph]]*Housekeeping_sample[[#This Row],[Hkpg Hrsn]]</f>
        <v>259294</v>
      </c>
      <c r="I40" s="12">
        <f>VLOOKUP(Housekeeping_sample[[#This Row],[Random ID]],'Estimator data 120523'!$A:$H,8,FALSE)</f>
        <v>240636</v>
      </c>
      <c r="J40" s="11">
        <f>+Housekeeping_sample[[#This Row],[Costs Rate Estimator]]/Housekeeping_sample[[#This Row],[Hkpg Hrsn]]</f>
        <v>16.899782288082029</v>
      </c>
      <c r="K40" s="10">
        <f>COUNTIF('HSKG detail'!A:A,A40)</f>
        <v>10</v>
      </c>
      <c r="L40" s="13">
        <v>14.269327770994426</v>
      </c>
      <c r="M40" s="13">
        <v>17.315544645710215</v>
      </c>
      <c r="N40" s="13">
        <v>16.682646008980548</v>
      </c>
      <c r="O40" s="13">
        <v>15.975191759067375</v>
      </c>
      <c r="P40" s="10">
        <f>COUNTIFS('HSKG detail'!$A:$A,$A40,'HSKG detail'!$C:$C,"&lt;"&amp;N40)</f>
        <v>5</v>
      </c>
      <c r="Q40" s="10">
        <f>COUNTIFS('HSKG detail'!$A:$A,$A40,'HSKG detail'!$C:$C,"&lt;"&amp;O40)</f>
        <v>4</v>
      </c>
      <c r="R40" s="10">
        <f>COUNTIFS('HSKG detail'!$A:$A,$A40,'HSKG detail'!$C:$C,"&lt;"&amp;$AE$1)</f>
        <v>10</v>
      </c>
      <c r="S40" s="10">
        <f>COUNTIFS('HSKG detail'!$A:$A,$A40,'HSKG detail'!$C:$C,"&lt;"&amp;$AE$2)</f>
        <v>9</v>
      </c>
      <c r="T40" s="10">
        <f>COUNTIFS('HSKG detail'!$A:$A,$A40,'HSKG detail'!$C:$C,"&lt;"&amp;$AE$3)</f>
        <v>9</v>
      </c>
      <c r="U40" s="12">
        <f>+Housekeeping_sample[[#This Row],[Hkpg median]]*Housekeeping_sample[[#This Row],[Hkpg Hrsn]]</f>
        <v>237544.19652187402</v>
      </c>
      <c r="V40" s="12">
        <f>+Housekeeping_sample[[#This Row],[Hkpg average]]*Housekeeping_sample[[#This Row],[Hkpg Hrsn]]</f>
        <v>227470.75545736036</v>
      </c>
      <c r="W40" s="14">
        <f>Housekeeping_sample[[#This Row],[Est median wage cost ]]/Housekeeping_sample[[#This Row],[Costs Rate Estimator]]</f>
        <v>0.98715153394285982</v>
      </c>
      <c r="X40" s="14">
        <f>Housekeeping_sample[[#This Row],[Est average wage cost]]/Housekeeping_sample[[#This Row],[Costs Rate Estimator]]</f>
        <v>0.9452897964450887</v>
      </c>
      <c r="Y40" s="14">
        <f>+Housekeeping_sample[[#This Row],[Hkpg min]]/Housekeeping_sample[[#This Row],[Hkpg median]]</f>
        <v>0.85533960040349766</v>
      </c>
      <c r="Z40" s="14">
        <f>+Housekeeping_sample[[#This Row],[Hkpg max]]/Housekeeping_sample[[#This Row],[Hkpg median]]</f>
        <v>1.0379375451825188</v>
      </c>
      <c r="AA40" s="10">
        <f>VLOOKUP(A40,Summary!$1:$1048576,2,FALSE)</f>
        <v>3</v>
      </c>
    </row>
    <row r="41" spans="1:27" x14ac:dyDescent="0.55000000000000004">
      <c r="A41" s="10">
        <v>380</v>
      </c>
      <c r="B41" s="10" t="s">
        <v>54</v>
      </c>
      <c r="C41" s="10">
        <f>VLOOKUP($A41,'SAS Data'!$1:$1048576,MATCH(C$1,'SAS Data'!$3:$3,0),FALSE)</f>
        <v>13</v>
      </c>
      <c r="D41" s="10">
        <f>VLOOKUP($A41,'SAS Data'!$1:$1048576,MATCH(D$1,'SAS Data'!$3:$3,0),FALSE)</f>
        <v>2</v>
      </c>
      <c r="E41" s="10">
        <f t="shared" si="1"/>
        <v>15</v>
      </c>
      <c r="F41" s="11">
        <f>VLOOKUP($A41,'SAS Data'!$1:$1048576,MATCH(F$1,'SAS Data'!$3:$3,0),FALSE)</f>
        <v>16.933208006192636</v>
      </c>
      <c r="G41" s="12">
        <f>VLOOKUP($A41,'SAS Data'!$1:$1048576,MATCH(G$1,'SAS Data'!$3:$3,0),FALSE)</f>
        <v>27129</v>
      </c>
      <c r="H41" s="12">
        <f>+Housekeeping_sample[[#This Row],[Hkpg Cph]]*Housekeeping_sample[[#This Row],[Hkpg Hrsn]]</f>
        <v>459381</v>
      </c>
      <c r="I41" s="12">
        <f>VLOOKUP(Housekeeping_sample[[#This Row],[Random ID]],'Estimator data 120523'!$A:$H,8,FALSE)</f>
        <v>459381</v>
      </c>
      <c r="J41" s="11">
        <f>+Housekeeping_sample[[#This Row],[Costs Rate Estimator]]/Housekeeping_sample[[#This Row],[Hkpg Hrsn]]</f>
        <v>16.933208006192636</v>
      </c>
      <c r="K41" s="10">
        <f>COUNTIF('HSKG detail'!A:A,A41)</f>
        <v>10</v>
      </c>
      <c r="L41" s="13">
        <v>18.89</v>
      </c>
      <c r="M41" s="13">
        <v>21.87</v>
      </c>
      <c r="N41" s="13">
        <v>21.215000000000003</v>
      </c>
      <c r="O41" s="13">
        <v>20.744000000000003</v>
      </c>
      <c r="P41" s="10">
        <f>COUNTIFS('HSKG detail'!$A:$A,$A41,'HSKG detail'!$C:$C,"&lt;"&amp;N41)</f>
        <v>5</v>
      </c>
      <c r="Q41" s="10">
        <f>COUNTIFS('HSKG detail'!$A:$A,$A41,'HSKG detail'!$C:$C,"&lt;"&amp;O41)</f>
        <v>5</v>
      </c>
      <c r="R41" s="10">
        <f>COUNTIFS('HSKG detail'!$A:$A,$A41,'HSKG detail'!$C:$C,"&lt;"&amp;$AE$1)</f>
        <v>10</v>
      </c>
      <c r="S41" s="10">
        <f>COUNTIFS('HSKG detail'!$A:$A,$A41,'HSKG detail'!$C:$C,"&lt;"&amp;$AE$2)</f>
        <v>0</v>
      </c>
      <c r="T41" s="10">
        <f>COUNTIFS('HSKG detail'!$A:$A,$A41,'HSKG detail'!$C:$C,"&lt;"&amp;$AE$3)</f>
        <v>0</v>
      </c>
      <c r="U41" s="12">
        <f>+Housekeeping_sample[[#This Row],[Hkpg median]]*Housekeeping_sample[[#This Row],[Hkpg Hrsn]]</f>
        <v>575541.7350000001</v>
      </c>
      <c r="V41" s="12">
        <f>+Housekeeping_sample[[#This Row],[Hkpg average]]*Housekeeping_sample[[#This Row],[Hkpg Hrsn]]</f>
        <v>562763.97600000014</v>
      </c>
      <c r="W41" s="14">
        <f>Housekeeping_sample[[#This Row],[Est median wage cost ]]/Housekeeping_sample[[#This Row],[Costs Rate Estimator]]</f>
        <v>1.2528636034141598</v>
      </c>
      <c r="X41" s="14">
        <f>Housekeeping_sample[[#This Row],[Est average wage cost]]/Housekeeping_sample[[#This Row],[Costs Rate Estimator]]</f>
        <v>1.2250484369183752</v>
      </c>
      <c r="Y41" s="14">
        <f>+Housekeeping_sample[[#This Row],[Hkpg min]]/Housekeeping_sample[[#This Row],[Hkpg median]]</f>
        <v>0.89040773037944843</v>
      </c>
      <c r="Z41" s="14">
        <f>+Housekeeping_sample[[#This Row],[Hkpg max]]/Housekeeping_sample[[#This Row],[Hkpg median]]</f>
        <v>1.0308743813339618</v>
      </c>
      <c r="AA41" s="10">
        <f>VLOOKUP(A41,Summary!$1:$1048576,2,FALSE)</f>
        <v>3</v>
      </c>
    </row>
    <row r="42" spans="1:27" x14ac:dyDescent="0.55000000000000004">
      <c r="A42" s="10">
        <v>926</v>
      </c>
      <c r="B42" s="10" t="s">
        <v>54</v>
      </c>
      <c r="C42" s="10">
        <f>VLOOKUP($A42,'SAS Data'!$1:$1048576,MATCH(C$1,'SAS Data'!$3:$3,0),FALSE)</f>
        <v>8</v>
      </c>
      <c r="D42" s="10">
        <f>VLOOKUP($A42,'SAS Data'!$1:$1048576,MATCH(D$1,'SAS Data'!$3:$3,0),FALSE)</f>
        <v>3</v>
      </c>
      <c r="E42" s="10">
        <f t="shared" si="1"/>
        <v>11</v>
      </c>
      <c r="F42" s="11">
        <f>VLOOKUP($A42,'SAS Data'!$1:$1048576,MATCH(F$1,'SAS Data'!$3:$3,0),FALSE)</f>
        <v>17.169250468742852</v>
      </c>
      <c r="G42" s="12">
        <f>VLOOKUP($A42,'SAS Data'!$1:$1048576,MATCH(G$1,'SAS Data'!$3:$3,0),FALSE)</f>
        <v>21867</v>
      </c>
      <c r="H42" s="12">
        <f>+Housekeeping_sample[[#This Row],[Hkpg Cph]]*Housekeeping_sample[[#This Row],[Hkpg Hrsn]]</f>
        <v>375439.99999999994</v>
      </c>
      <c r="I42" s="12">
        <f>VLOOKUP(Housekeeping_sample[[#This Row],[Random ID]],'Estimator data 120523'!$A:$H,8,FALSE)</f>
        <v>375440</v>
      </c>
      <c r="J42" s="11">
        <f>+Housekeeping_sample[[#This Row],[Costs Rate Estimator]]/Housekeeping_sample[[#This Row],[Hkpg Hrsn]]</f>
        <v>17.169250468742856</v>
      </c>
      <c r="K42" s="10">
        <f>COUNTIF('HSKG detail'!A:A,A42)</f>
        <v>9</v>
      </c>
      <c r="L42" s="13">
        <v>16.47</v>
      </c>
      <c r="M42" s="13">
        <v>23.54</v>
      </c>
      <c r="N42" s="13">
        <v>17.12</v>
      </c>
      <c r="O42" s="13">
        <v>18.18888888888889</v>
      </c>
      <c r="P42" s="10">
        <f>COUNTIFS('HSKG detail'!$A:$A,$A42,'HSKG detail'!$C:$C,"&lt;"&amp;N42)</f>
        <v>3</v>
      </c>
      <c r="Q42" s="10">
        <f>COUNTIFS('HSKG detail'!$A:$A,$A42,'HSKG detail'!$C:$C,"&lt;"&amp;O42)</f>
        <v>6</v>
      </c>
      <c r="R42" s="10">
        <f>COUNTIFS('HSKG detail'!$A:$A,$A42,'HSKG detail'!$C:$C,"&lt;"&amp;$AE$1)</f>
        <v>9</v>
      </c>
      <c r="S42" s="10">
        <f>COUNTIFS('HSKG detail'!$A:$A,$A42,'HSKG detail'!$C:$C,"&lt;"&amp;$AE$2)</f>
        <v>3</v>
      </c>
      <c r="T42" s="10">
        <f>COUNTIFS('HSKG detail'!$A:$A,$A42,'HSKG detail'!$C:$C,"&lt;"&amp;$AE$3)</f>
        <v>5</v>
      </c>
      <c r="U42" s="12">
        <f>+Housekeeping_sample[[#This Row],[Hkpg median]]*Housekeeping_sample[[#This Row],[Hkpg Hrsn]]</f>
        <v>374363.04000000004</v>
      </c>
      <c r="V42" s="12">
        <f>+Housekeeping_sample[[#This Row],[Hkpg average]]*Housekeeping_sample[[#This Row],[Hkpg Hrsn]]</f>
        <v>397736.43333333335</v>
      </c>
      <c r="W42" s="14">
        <f>Housekeeping_sample[[#This Row],[Est median wage cost ]]/Housekeeping_sample[[#This Row],[Costs Rate Estimator]]</f>
        <v>0.99713147240571076</v>
      </c>
      <c r="X42" s="14">
        <f>Housekeeping_sample[[#This Row],[Est average wage cost]]/Housekeeping_sample[[#This Row],[Costs Rate Estimator]]</f>
        <v>1.0593874742524327</v>
      </c>
      <c r="Y42" s="14">
        <f>+Housekeeping_sample[[#This Row],[Hkpg min]]/Housekeeping_sample[[#This Row],[Hkpg median]]</f>
        <v>0.96203271028037374</v>
      </c>
      <c r="Z42" s="14">
        <f>+Housekeeping_sample[[#This Row],[Hkpg max]]/Housekeeping_sample[[#This Row],[Hkpg median]]</f>
        <v>1.3749999999999998</v>
      </c>
      <c r="AA42" s="10">
        <f>VLOOKUP(A42,Summary!$1:$1048576,2,FALSE)</f>
        <v>3</v>
      </c>
    </row>
    <row r="43" spans="1:27" x14ac:dyDescent="0.55000000000000004">
      <c r="A43" s="10">
        <v>604</v>
      </c>
      <c r="B43" s="10" t="s">
        <v>54</v>
      </c>
      <c r="C43" s="10">
        <f>VLOOKUP($A43,'SAS Data'!$1:$1048576,MATCH(C$1,'SAS Data'!$3:$3,0),FALSE)</f>
        <v>3</v>
      </c>
      <c r="D43" s="10">
        <f>VLOOKUP($A43,'SAS Data'!$1:$1048576,MATCH(D$1,'SAS Data'!$3:$3,0),FALSE)</f>
        <v>2</v>
      </c>
      <c r="E43" s="10">
        <f t="shared" si="1"/>
        <v>5</v>
      </c>
      <c r="F43" s="11">
        <f>VLOOKUP($A43,'SAS Data'!$1:$1048576,MATCH(F$1,'SAS Data'!$3:$3,0),FALSE)</f>
        <v>17.228070175438596</v>
      </c>
      <c r="G43" s="12">
        <f>VLOOKUP($A43,'SAS Data'!$1:$1048576,MATCH(G$1,'SAS Data'!$3:$3,0),FALSE)</f>
        <v>8778</v>
      </c>
      <c r="H43" s="12">
        <f>+Housekeeping_sample[[#This Row],[Hkpg Cph]]*Housekeeping_sample[[#This Row],[Hkpg Hrsn]]</f>
        <v>151228</v>
      </c>
      <c r="I43" s="12">
        <f>VLOOKUP(Housekeeping_sample[[#This Row],[Random ID]],'Estimator data 120523'!$A:$H,8,FALSE)</f>
        <v>150790</v>
      </c>
      <c r="J43" s="11">
        <f>+Housekeeping_sample[[#This Row],[Costs Rate Estimator]]/Housekeeping_sample[[#This Row],[Hkpg Hrsn]]</f>
        <v>17.178172704488492</v>
      </c>
      <c r="K43" s="10">
        <f>COUNTIF('HSKG detail'!A:A,A43)</f>
        <v>5</v>
      </c>
      <c r="L43" s="13">
        <v>15.74</v>
      </c>
      <c r="M43" s="13">
        <v>17.39</v>
      </c>
      <c r="N43" s="13">
        <v>15.74</v>
      </c>
      <c r="O43" s="13">
        <v>16.130000000000003</v>
      </c>
      <c r="P43" s="10">
        <f>COUNTIFS('HSKG detail'!$A:$A,$A43,'HSKG detail'!$C:$C,"&lt;"&amp;N43)</f>
        <v>0</v>
      </c>
      <c r="Q43" s="10">
        <f>COUNTIFS('HSKG detail'!$A:$A,$A43,'HSKG detail'!$C:$C,"&lt;"&amp;O43)</f>
        <v>4</v>
      </c>
      <c r="R43" s="10">
        <f>COUNTIFS('HSKG detail'!$A:$A,$A43,'HSKG detail'!$C:$C,"&lt;"&amp;$AE$1)</f>
        <v>5</v>
      </c>
      <c r="S43" s="10">
        <f>COUNTIFS('HSKG detail'!$A:$A,$A43,'HSKG detail'!$C:$C,"&lt;"&amp;$AE$2)</f>
        <v>4</v>
      </c>
      <c r="T43" s="10">
        <f>COUNTIFS('HSKG detail'!$A:$A,$A43,'HSKG detail'!$C:$C,"&lt;"&amp;$AE$3)</f>
        <v>4</v>
      </c>
      <c r="U43" s="12">
        <f>+Housekeeping_sample[[#This Row],[Hkpg median]]*Housekeeping_sample[[#This Row],[Hkpg Hrsn]]</f>
        <v>138165.72</v>
      </c>
      <c r="V43" s="12">
        <f>+Housekeeping_sample[[#This Row],[Hkpg average]]*Housekeeping_sample[[#This Row],[Hkpg Hrsn]]</f>
        <v>141589.14000000001</v>
      </c>
      <c r="W43" s="14">
        <f>Housekeeping_sample[[#This Row],[Est median wage cost ]]/Housekeeping_sample[[#This Row],[Costs Rate Estimator]]</f>
        <v>0.91627906359838185</v>
      </c>
      <c r="X43" s="14">
        <f>Housekeeping_sample[[#This Row],[Est average wage cost]]/Housekeeping_sample[[#This Row],[Costs Rate Estimator]]</f>
        <v>0.93898229325552096</v>
      </c>
      <c r="Y43" s="14">
        <f>+Housekeeping_sample[[#This Row],[Hkpg min]]/Housekeeping_sample[[#This Row],[Hkpg median]]</f>
        <v>1</v>
      </c>
      <c r="Z43" s="14">
        <f>+Housekeeping_sample[[#This Row],[Hkpg max]]/Housekeeping_sample[[#This Row],[Hkpg median]]</f>
        <v>1.1048284625158831</v>
      </c>
      <c r="AA43" s="10">
        <f>VLOOKUP(A43,Summary!$1:$1048576,2,FALSE)</f>
        <v>3</v>
      </c>
    </row>
    <row r="44" spans="1:27" x14ac:dyDescent="0.55000000000000004">
      <c r="A44" s="10">
        <v>268</v>
      </c>
      <c r="B44" s="10" t="s">
        <v>54</v>
      </c>
      <c r="C44" s="10">
        <f>VLOOKUP($A44,'SAS Data'!$1:$1048576,MATCH(C$1,'SAS Data'!$3:$3,0),FALSE)</f>
        <v>4</v>
      </c>
      <c r="D44" s="10">
        <f>VLOOKUP($A44,'SAS Data'!$1:$1048576,MATCH(D$1,'SAS Data'!$3:$3,0),FALSE)</f>
        <v>2</v>
      </c>
      <c r="E44" s="10">
        <f t="shared" si="1"/>
        <v>6</v>
      </c>
      <c r="F44" s="11">
        <f>VLOOKUP($A44,'SAS Data'!$1:$1048576,MATCH(F$1,'SAS Data'!$3:$3,0),FALSE)</f>
        <v>18.750313247522495</v>
      </c>
      <c r="G44" s="12">
        <f>VLOOKUP($A44,'SAS Data'!$1:$1048576,MATCH(G$1,'SAS Data'!$3:$3,0),FALSE)</f>
        <v>8779</v>
      </c>
      <c r="H44" s="12">
        <f>+Housekeeping_sample[[#This Row],[Hkpg Cph]]*Housekeeping_sample[[#This Row],[Hkpg Hrsn]]</f>
        <v>164608.99999999997</v>
      </c>
      <c r="I44" s="12">
        <f>VLOOKUP(Housekeeping_sample[[#This Row],[Random ID]],'Estimator data 120523'!$A:$H,8,FALSE)</f>
        <v>150961</v>
      </c>
      <c r="J44" s="11">
        <f>+Housekeeping_sample[[#This Row],[Costs Rate Estimator]]/Housekeeping_sample[[#This Row],[Hkpg Hrsn]]</f>
        <v>17.195694270418041</v>
      </c>
      <c r="K44" s="10">
        <f>COUNTIF('HSKG detail'!A:A,A44)</f>
        <v>5</v>
      </c>
      <c r="L44" s="13">
        <v>16.05</v>
      </c>
      <c r="M44" s="13">
        <v>20.99</v>
      </c>
      <c r="N44" s="13">
        <v>17</v>
      </c>
      <c r="O44" s="13">
        <v>18.021999999999998</v>
      </c>
      <c r="P44" s="10">
        <f>COUNTIFS('HSKG detail'!$A:$A,$A44,'HSKG detail'!$C:$C,"&lt;"&amp;N44)</f>
        <v>2</v>
      </c>
      <c r="Q44" s="10">
        <f>COUNTIFS('HSKG detail'!$A:$A,$A44,'HSKG detail'!$C:$C,"&lt;"&amp;O44)</f>
        <v>3</v>
      </c>
      <c r="R44" s="10">
        <f>COUNTIFS('HSKG detail'!$A:$A,$A44,'HSKG detail'!$C:$C,"&lt;"&amp;$AE$1)</f>
        <v>5</v>
      </c>
      <c r="S44" s="10">
        <f>COUNTIFS('HSKG detail'!$A:$A,$A44,'HSKG detail'!$C:$C,"&lt;"&amp;$AE$2)</f>
        <v>3</v>
      </c>
      <c r="T44" s="10">
        <f>COUNTIFS('HSKG detail'!$A:$A,$A44,'HSKG detail'!$C:$C,"&lt;"&amp;$AE$3)</f>
        <v>3</v>
      </c>
      <c r="U44" s="12">
        <f>+Housekeeping_sample[[#This Row],[Hkpg median]]*Housekeeping_sample[[#This Row],[Hkpg Hrsn]]</f>
        <v>149243</v>
      </c>
      <c r="V44" s="12">
        <f>+Housekeeping_sample[[#This Row],[Hkpg average]]*Housekeeping_sample[[#This Row],[Hkpg Hrsn]]</f>
        <v>158215.13799999998</v>
      </c>
      <c r="W44" s="14">
        <f>Housekeeping_sample[[#This Row],[Est median wage cost ]]/Housekeeping_sample[[#This Row],[Costs Rate Estimator]]</f>
        <v>0.98861957724180416</v>
      </c>
      <c r="X44" s="14">
        <f>Housekeeping_sample[[#This Row],[Est average wage cost]]/Housekeeping_sample[[#This Row],[Costs Rate Estimator]]</f>
        <v>1.04805306006187</v>
      </c>
      <c r="Y44" s="14">
        <f>+Housekeeping_sample[[#This Row],[Hkpg min]]/Housekeeping_sample[[#This Row],[Hkpg median]]</f>
        <v>0.94411764705882362</v>
      </c>
      <c r="Z44" s="14">
        <f>+Housekeeping_sample[[#This Row],[Hkpg max]]/Housekeeping_sample[[#This Row],[Hkpg median]]</f>
        <v>1.2347058823529411</v>
      </c>
      <c r="AA44" s="10">
        <f>VLOOKUP(A44,Summary!$1:$1048576,2,FALSE)</f>
        <v>2</v>
      </c>
    </row>
    <row r="45" spans="1:27" x14ac:dyDescent="0.55000000000000004">
      <c r="A45" s="10">
        <v>313</v>
      </c>
      <c r="B45" s="10" t="s">
        <v>54</v>
      </c>
      <c r="C45" s="10">
        <f>VLOOKUP($A45,'SAS Data'!$1:$1048576,MATCH(C$1,'SAS Data'!$3:$3,0),FALSE)</f>
        <v>3</v>
      </c>
      <c r="D45" s="10">
        <f>VLOOKUP($A45,'SAS Data'!$1:$1048576,MATCH(D$1,'SAS Data'!$3:$3,0),FALSE)</f>
        <v>0</v>
      </c>
      <c r="E45" s="10">
        <f t="shared" si="1"/>
        <v>3</v>
      </c>
      <c r="F45" s="11">
        <f>VLOOKUP($A45,'SAS Data'!$1:$1048576,MATCH(F$1,'SAS Data'!$3:$3,0),FALSE)</f>
        <v>17.237540674773076</v>
      </c>
      <c r="G45" s="12">
        <f>VLOOKUP($A45,'SAS Data'!$1:$1048576,MATCH(G$1,'SAS Data'!$3:$3,0),FALSE)</f>
        <v>5839</v>
      </c>
      <c r="H45" s="12">
        <f>+Housekeeping_sample[[#This Row],[Hkpg Cph]]*Housekeeping_sample[[#This Row],[Hkpg Hrsn]]</f>
        <v>100649.99999999999</v>
      </c>
      <c r="I45" s="12">
        <f>VLOOKUP(Housekeeping_sample[[#This Row],[Random ID]],'Estimator data 120523'!$A:$H,8,FALSE)</f>
        <v>100890</v>
      </c>
      <c r="J45" s="11">
        <f>+Housekeeping_sample[[#This Row],[Costs Rate Estimator]]/Housekeeping_sample[[#This Row],[Hkpg Hrsn]]</f>
        <v>17.278643603356738</v>
      </c>
      <c r="K45" s="10">
        <f>COUNTIF('HSKG detail'!A:A,A45)</f>
        <v>4</v>
      </c>
      <c r="L45" s="13">
        <v>15.94</v>
      </c>
      <c r="M45" s="13">
        <v>17.38</v>
      </c>
      <c r="N45" s="13">
        <v>17.180599999999998</v>
      </c>
      <c r="O45" s="13">
        <v>16.920299999999997</v>
      </c>
      <c r="P45" s="10">
        <f>COUNTIFS('HSKG detail'!$A:$A,$A45,'HSKG detail'!$C:$C,"&lt;"&amp;N45)</f>
        <v>2</v>
      </c>
      <c r="Q45" s="10">
        <f>COUNTIFS('HSKG detail'!$A:$A,$A45,'HSKG detail'!$C:$C,"&lt;"&amp;O45)</f>
        <v>1</v>
      </c>
      <c r="R45" s="10">
        <f>COUNTIFS('HSKG detail'!$A:$A,$A45,'HSKG detail'!$C:$C,"&lt;"&amp;$AE$1)</f>
        <v>4</v>
      </c>
      <c r="S45" s="10">
        <f>COUNTIFS('HSKG detail'!$A:$A,$A45,'HSKG detail'!$C:$C,"&lt;"&amp;$AE$2)</f>
        <v>2</v>
      </c>
      <c r="T45" s="10">
        <f>COUNTIFS('HSKG detail'!$A:$A,$A45,'HSKG detail'!$C:$C,"&lt;"&amp;$AE$3)</f>
        <v>2</v>
      </c>
      <c r="U45" s="12">
        <f>+Housekeeping_sample[[#This Row],[Hkpg median]]*Housekeeping_sample[[#This Row],[Hkpg Hrsn]]</f>
        <v>100317.52339999999</v>
      </c>
      <c r="V45" s="12">
        <f>+Housekeeping_sample[[#This Row],[Hkpg average]]*Housekeeping_sample[[#This Row],[Hkpg Hrsn]]</f>
        <v>98797.631699999984</v>
      </c>
      <c r="W45" s="14">
        <f>Housekeeping_sample[[#This Row],[Est median wage cost ]]/Housekeeping_sample[[#This Row],[Costs Rate Estimator]]</f>
        <v>0.994325734958866</v>
      </c>
      <c r="X45" s="14">
        <f>Housekeeping_sample[[#This Row],[Est average wage cost]]/Housekeeping_sample[[#This Row],[Costs Rate Estimator]]</f>
        <v>0.97926089503419544</v>
      </c>
      <c r="Y45" s="14">
        <f>+Housekeeping_sample[[#This Row],[Hkpg min]]/Housekeeping_sample[[#This Row],[Hkpg median]]</f>
        <v>0.92779064759088747</v>
      </c>
      <c r="Z45" s="14">
        <f>+Housekeeping_sample[[#This Row],[Hkpg max]]/Housekeeping_sample[[#This Row],[Hkpg median]]</f>
        <v>1.0116061138726238</v>
      </c>
      <c r="AA45" s="10">
        <f>VLOOKUP(A45,Summary!$1:$1048576,2,FALSE)</f>
        <v>2</v>
      </c>
    </row>
    <row r="46" spans="1:27" x14ac:dyDescent="0.55000000000000004">
      <c r="A46" s="10">
        <v>423</v>
      </c>
      <c r="B46" s="10" t="s">
        <v>54</v>
      </c>
      <c r="C46" s="10">
        <f>VLOOKUP($A46,'SAS Data'!$1:$1048576,MATCH(C$1,'SAS Data'!$3:$3,0),FALSE)</f>
        <v>3</v>
      </c>
      <c r="D46" s="10">
        <f>VLOOKUP($A46,'SAS Data'!$1:$1048576,MATCH(D$1,'SAS Data'!$3:$3,0),FALSE)</f>
        <v>5</v>
      </c>
      <c r="E46" s="10">
        <f t="shared" si="1"/>
        <v>8</v>
      </c>
      <c r="F46" s="11">
        <f>VLOOKUP($A46,'SAS Data'!$1:$1048576,MATCH(F$1,'SAS Data'!$3:$3,0),FALSE)</f>
        <v>17.450991039913113</v>
      </c>
      <c r="G46" s="12">
        <f>VLOOKUP($A46,'SAS Data'!$1:$1048576,MATCH(G$1,'SAS Data'!$3:$3,0),FALSE)</f>
        <v>7366</v>
      </c>
      <c r="H46" s="12">
        <f>+Housekeeping_sample[[#This Row],[Hkpg Cph]]*Housekeeping_sample[[#This Row],[Hkpg Hrsn]]</f>
        <v>128543.99999999999</v>
      </c>
      <c r="I46" s="12">
        <f>VLOOKUP(Housekeeping_sample[[#This Row],[Random ID]],'Estimator data 120523'!$A:$H,8,FALSE)</f>
        <v>127438</v>
      </c>
      <c r="J46" s="11">
        <f>+Housekeeping_sample[[#This Row],[Costs Rate Estimator]]/Housekeeping_sample[[#This Row],[Hkpg Hrsn]]</f>
        <v>17.300841705131685</v>
      </c>
      <c r="K46" s="10">
        <f>COUNTIF('HSKG detail'!A:A,A46)</f>
        <v>7</v>
      </c>
      <c r="L46" s="13">
        <v>14</v>
      </c>
      <c r="M46" s="13">
        <v>14.75</v>
      </c>
      <c r="N46" s="13">
        <v>14</v>
      </c>
      <c r="O46" s="13">
        <v>14.178571428571429</v>
      </c>
      <c r="P46" s="10">
        <f>COUNTIFS('HSKG detail'!$A:$A,$A46,'HSKG detail'!$C:$C,"&lt;"&amp;N46)</f>
        <v>0</v>
      </c>
      <c r="Q46" s="10">
        <f>COUNTIFS('HSKG detail'!$A:$A,$A46,'HSKG detail'!$C:$C,"&lt;"&amp;O46)</f>
        <v>5</v>
      </c>
      <c r="R46" s="10">
        <f>COUNTIFS('HSKG detail'!$A:$A,$A46,'HSKG detail'!$C:$C,"&lt;"&amp;$AE$1)</f>
        <v>7</v>
      </c>
      <c r="S46" s="10">
        <f>COUNTIFS('HSKG detail'!$A:$A,$A46,'HSKG detail'!$C:$C,"&lt;"&amp;$AE$2)</f>
        <v>7</v>
      </c>
      <c r="T46" s="10">
        <f>COUNTIFS('HSKG detail'!$A:$A,$A46,'HSKG detail'!$C:$C,"&lt;"&amp;$AE$3)</f>
        <v>7</v>
      </c>
      <c r="U46" s="12">
        <f>+Housekeeping_sample[[#This Row],[Hkpg median]]*Housekeeping_sample[[#This Row],[Hkpg Hrsn]]</f>
        <v>103124</v>
      </c>
      <c r="V46" s="12">
        <f>+Housekeeping_sample[[#This Row],[Hkpg average]]*Housekeeping_sample[[#This Row],[Hkpg Hrsn]]</f>
        <v>104439.35714285714</v>
      </c>
      <c r="W46" s="14">
        <f>Housekeeping_sample[[#This Row],[Est median wage cost ]]/Housekeeping_sample[[#This Row],[Costs Rate Estimator]]</f>
        <v>0.80920918407382414</v>
      </c>
      <c r="X46" s="14">
        <f>Housekeeping_sample[[#This Row],[Est average wage cost]]/Housekeeping_sample[[#This Row],[Costs Rate Estimator]]</f>
        <v>0.8195307297890515</v>
      </c>
      <c r="Y46" s="14">
        <f>+Housekeeping_sample[[#This Row],[Hkpg min]]/Housekeeping_sample[[#This Row],[Hkpg median]]</f>
        <v>1</v>
      </c>
      <c r="Z46" s="14">
        <f>+Housekeeping_sample[[#This Row],[Hkpg max]]/Housekeeping_sample[[#This Row],[Hkpg median]]</f>
        <v>1.0535714285714286</v>
      </c>
      <c r="AA46" s="10">
        <f>VLOOKUP(A46,Summary!$1:$1048576,2,FALSE)</f>
        <v>2</v>
      </c>
    </row>
    <row r="47" spans="1:27" x14ac:dyDescent="0.55000000000000004">
      <c r="A47" s="10">
        <v>558</v>
      </c>
      <c r="B47" s="10" t="s">
        <v>54</v>
      </c>
      <c r="C47" s="10">
        <f>VLOOKUP($A47,'SAS Data'!$1:$1048576,MATCH(C$1,'SAS Data'!$3:$3,0),FALSE)</f>
        <v>3</v>
      </c>
      <c r="D47" s="10">
        <f>VLOOKUP($A47,'SAS Data'!$1:$1048576,MATCH(D$1,'SAS Data'!$3:$3,0),FALSE)</f>
        <v>0</v>
      </c>
      <c r="E47" s="10">
        <f t="shared" si="1"/>
        <v>3</v>
      </c>
      <c r="F47" s="11">
        <f>VLOOKUP($A47,'SAS Data'!$1:$1048576,MATCH(F$1,'SAS Data'!$3:$3,0),FALSE)</f>
        <v>16.805885036496349</v>
      </c>
      <c r="G47" s="12">
        <f>VLOOKUP($A47,'SAS Data'!$1:$1048576,MATCH(G$1,'SAS Data'!$3:$3,0),FALSE)</f>
        <v>4384</v>
      </c>
      <c r="H47" s="12">
        <f>+Housekeeping_sample[[#This Row],[Hkpg Cph]]*Housekeeping_sample[[#This Row],[Hkpg Hrsn]]</f>
        <v>73677</v>
      </c>
      <c r="I47" s="12">
        <f>VLOOKUP(Housekeeping_sample[[#This Row],[Random ID]],'Estimator data 120523'!$A:$H,8,FALSE)</f>
        <v>76099</v>
      </c>
      <c r="J47" s="11">
        <f>+Housekeeping_sample[[#This Row],[Costs Rate Estimator]]/Housekeeping_sample[[#This Row],[Hkpg Hrsn]]</f>
        <v>17.358348540145986</v>
      </c>
      <c r="K47" s="10">
        <f>COUNTIF('HSKG detail'!A:A,A47)</f>
        <v>6</v>
      </c>
      <c r="L47" s="13">
        <v>15.75</v>
      </c>
      <c r="M47" s="13">
        <v>20.75</v>
      </c>
      <c r="N47" s="13">
        <v>17.125</v>
      </c>
      <c r="O47" s="13">
        <v>17.625</v>
      </c>
      <c r="P47" s="10">
        <f>COUNTIFS('HSKG detail'!$A:$A,$A47,'HSKG detail'!$C:$C,"&lt;"&amp;N47)</f>
        <v>3</v>
      </c>
      <c r="Q47" s="10">
        <f>COUNTIFS('HSKG detail'!$A:$A,$A47,'HSKG detail'!$C:$C,"&lt;"&amp;O47)</f>
        <v>3</v>
      </c>
      <c r="R47" s="10">
        <f>COUNTIFS('HSKG detail'!$A:$A,$A47,'HSKG detail'!$C:$C,"&lt;"&amp;$AE$1)</f>
        <v>6</v>
      </c>
      <c r="S47" s="10">
        <f>COUNTIFS('HSKG detail'!$A:$A,$A47,'HSKG detail'!$C:$C,"&lt;"&amp;$AE$2)</f>
        <v>3</v>
      </c>
      <c r="T47" s="10">
        <f>COUNTIFS('HSKG detail'!$A:$A,$A47,'HSKG detail'!$C:$C,"&lt;"&amp;$AE$3)</f>
        <v>3</v>
      </c>
      <c r="U47" s="12">
        <f>+Housekeeping_sample[[#This Row],[Hkpg median]]*Housekeeping_sample[[#This Row],[Hkpg Hrsn]]</f>
        <v>75076</v>
      </c>
      <c r="V47" s="12">
        <f>+Housekeeping_sample[[#This Row],[Hkpg average]]*Housekeeping_sample[[#This Row],[Hkpg Hrsn]]</f>
        <v>77268</v>
      </c>
      <c r="W47" s="14">
        <f>Housekeeping_sample[[#This Row],[Est median wage cost ]]/Housekeeping_sample[[#This Row],[Costs Rate Estimator]]</f>
        <v>0.9865569849800917</v>
      </c>
      <c r="X47" s="14">
        <f>Housekeeping_sample[[#This Row],[Est average wage cost]]/Housekeeping_sample[[#This Row],[Costs Rate Estimator]]</f>
        <v>1.0153615684831601</v>
      </c>
      <c r="Y47" s="14">
        <f>+Housekeeping_sample[[#This Row],[Hkpg min]]/Housekeeping_sample[[#This Row],[Hkpg median]]</f>
        <v>0.91970802919708028</v>
      </c>
      <c r="Z47" s="14">
        <f>+Housekeeping_sample[[#This Row],[Hkpg max]]/Housekeeping_sample[[#This Row],[Hkpg median]]</f>
        <v>1.2116788321167884</v>
      </c>
      <c r="AA47" s="10">
        <f>VLOOKUP(A47,Summary!$1:$1048576,2,FALSE)</f>
        <v>1</v>
      </c>
    </row>
    <row r="48" spans="1:27" x14ac:dyDescent="0.55000000000000004">
      <c r="A48" s="10">
        <v>351</v>
      </c>
      <c r="B48" s="10" t="s">
        <v>54</v>
      </c>
      <c r="C48" s="10">
        <f>VLOOKUP($A48,'SAS Data'!$1:$1048576,MATCH(C$1,'SAS Data'!$3:$3,0),FALSE)</f>
        <v>7</v>
      </c>
      <c r="D48" s="10">
        <f>VLOOKUP($A48,'SAS Data'!$1:$1048576,MATCH(D$1,'SAS Data'!$3:$3,0),FALSE)</f>
        <v>1</v>
      </c>
      <c r="E48" s="10">
        <f t="shared" si="1"/>
        <v>8</v>
      </c>
      <c r="F48" s="11">
        <f>VLOOKUP($A48,'SAS Data'!$1:$1048576,MATCH(F$1,'SAS Data'!$3:$3,0),FALSE)</f>
        <v>17.173449980981363</v>
      </c>
      <c r="G48" s="12">
        <f>VLOOKUP($A48,'SAS Data'!$1:$1048576,MATCH(G$1,'SAS Data'!$3:$3,0),FALSE)</f>
        <v>10516</v>
      </c>
      <c r="H48" s="12">
        <f>+Housekeeping_sample[[#This Row],[Hkpg Cph]]*Housekeeping_sample[[#This Row],[Hkpg Hrsn]]</f>
        <v>180596.00000000003</v>
      </c>
      <c r="I48" s="12">
        <f>VLOOKUP(Housekeeping_sample[[#This Row],[Random ID]],'Estimator data 120523'!$A:$H,8,FALSE)</f>
        <v>184030</v>
      </c>
      <c r="J48" s="11">
        <f>+Housekeeping_sample[[#This Row],[Costs Rate Estimator]]/Housekeeping_sample[[#This Row],[Hkpg Hrsn]]</f>
        <v>17.5</v>
      </c>
      <c r="K48" s="10">
        <f>COUNTIF('HSKG detail'!A:A,A48)</f>
        <v>7</v>
      </c>
      <c r="L48" s="13">
        <v>15.27</v>
      </c>
      <c r="M48" s="13">
        <v>18.98</v>
      </c>
      <c r="N48" s="13">
        <v>18.239999999999998</v>
      </c>
      <c r="O48" s="13">
        <v>17.607142857142854</v>
      </c>
      <c r="P48" s="10">
        <f>COUNTIFS('HSKG detail'!$A:$A,$A48,'HSKG detail'!$C:$C,"&lt;"&amp;N48)</f>
        <v>3</v>
      </c>
      <c r="Q48" s="10">
        <f>COUNTIFS('HSKG detail'!$A:$A,$A48,'HSKG detail'!$C:$C,"&lt;"&amp;O48)</f>
        <v>3</v>
      </c>
      <c r="R48" s="10">
        <f>COUNTIFS('HSKG detail'!$A:$A,$A48,'HSKG detail'!$C:$C,"&lt;"&amp;$AE$1)</f>
        <v>7</v>
      </c>
      <c r="S48" s="10">
        <f>COUNTIFS('HSKG detail'!$A:$A,$A48,'HSKG detail'!$C:$C,"&lt;"&amp;$AE$2)</f>
        <v>2</v>
      </c>
      <c r="T48" s="10">
        <f>COUNTIFS('HSKG detail'!$A:$A,$A48,'HSKG detail'!$C:$C,"&lt;"&amp;$AE$3)</f>
        <v>2</v>
      </c>
      <c r="U48" s="12">
        <f>+Housekeeping_sample[[#This Row],[Hkpg median]]*Housekeeping_sample[[#This Row],[Hkpg Hrsn]]</f>
        <v>191811.84</v>
      </c>
      <c r="V48" s="12">
        <f>+Housekeeping_sample[[#This Row],[Hkpg average]]*Housekeeping_sample[[#This Row],[Hkpg Hrsn]]</f>
        <v>185156.71428571426</v>
      </c>
      <c r="W48" s="14">
        <f>Housekeeping_sample[[#This Row],[Est median wage cost ]]/Housekeeping_sample[[#This Row],[Costs Rate Estimator]]</f>
        <v>1.0422857142857143</v>
      </c>
      <c r="X48" s="14">
        <f>Housekeeping_sample[[#This Row],[Est average wage cost]]/Housekeeping_sample[[#This Row],[Costs Rate Estimator]]</f>
        <v>1.0061224489795917</v>
      </c>
      <c r="Y48" s="14">
        <f>+Housekeeping_sample[[#This Row],[Hkpg min]]/Housekeeping_sample[[#This Row],[Hkpg median]]</f>
        <v>0.83717105263157898</v>
      </c>
      <c r="Z48" s="14">
        <f>+Housekeeping_sample[[#This Row],[Hkpg max]]/Housekeeping_sample[[#This Row],[Hkpg median]]</f>
        <v>1.0405701754385965</v>
      </c>
      <c r="AA48" s="10">
        <f>VLOOKUP(A48,Summary!$1:$1048576,2,FALSE)</f>
        <v>2</v>
      </c>
    </row>
    <row r="49" spans="1:27" x14ac:dyDescent="0.55000000000000004">
      <c r="A49" s="10">
        <v>205</v>
      </c>
      <c r="B49" s="10" t="s">
        <v>54</v>
      </c>
      <c r="C49" s="10">
        <f>VLOOKUP($A49,'SAS Data'!$1:$1048576,MATCH(C$1,'SAS Data'!$3:$3,0),FALSE)</f>
        <v>3</v>
      </c>
      <c r="D49" s="10">
        <f>VLOOKUP($A49,'SAS Data'!$1:$1048576,MATCH(D$1,'SAS Data'!$3:$3,0),FALSE)</f>
        <v>2</v>
      </c>
      <c r="E49" s="10">
        <f t="shared" si="1"/>
        <v>5</v>
      </c>
      <c r="F49" s="11">
        <f>VLOOKUP($A49,'SAS Data'!$1:$1048576,MATCH(F$1,'SAS Data'!$3:$3,0),FALSE)</f>
        <v>17.512705697973804</v>
      </c>
      <c r="G49" s="12">
        <f>VLOOKUP($A49,'SAS Data'!$1:$1048576,MATCH(G$1,'SAS Data'!$3:$3,0),FALSE)</f>
        <v>8933</v>
      </c>
      <c r="H49" s="12">
        <f>+Housekeeping_sample[[#This Row],[Hkpg Cph]]*Housekeeping_sample[[#This Row],[Hkpg Hrsn]]</f>
        <v>156441</v>
      </c>
      <c r="I49" s="12">
        <f>VLOOKUP(Housekeeping_sample[[#This Row],[Random ID]],'Estimator data 120523'!$A:$H,8,FALSE)</f>
        <v>156441</v>
      </c>
      <c r="J49" s="11">
        <f>+Housekeeping_sample[[#This Row],[Costs Rate Estimator]]/Housekeeping_sample[[#This Row],[Hkpg Hrsn]]</f>
        <v>17.512705697973804</v>
      </c>
      <c r="K49" s="10">
        <f>COUNTIF('HSKG detail'!A:A,A49)</f>
        <v>7</v>
      </c>
      <c r="L49" s="13">
        <v>15.5</v>
      </c>
      <c r="M49" s="13">
        <v>17</v>
      </c>
      <c r="N49" s="13">
        <v>17</v>
      </c>
      <c r="O49" s="13">
        <v>16.372857142857143</v>
      </c>
      <c r="P49" s="10">
        <f>COUNTIFS('HSKG detail'!$A:$A,$A49,'HSKG detail'!$C:$C,"&lt;"&amp;N49)</f>
        <v>3</v>
      </c>
      <c r="Q49" s="10">
        <f>COUNTIFS('HSKG detail'!$A:$A,$A49,'HSKG detail'!$C:$C,"&lt;"&amp;O49)</f>
        <v>3</v>
      </c>
      <c r="R49" s="10">
        <f>COUNTIFS('HSKG detail'!$A:$A,$A49,'HSKG detail'!$C:$C,"&lt;"&amp;$AE$1)</f>
        <v>7</v>
      </c>
      <c r="S49" s="10">
        <f>COUNTIFS('HSKG detail'!$A:$A,$A49,'HSKG detail'!$C:$C,"&lt;"&amp;$AE$2)</f>
        <v>7</v>
      </c>
      <c r="T49" s="10">
        <f>COUNTIFS('HSKG detail'!$A:$A,$A49,'HSKG detail'!$C:$C,"&lt;"&amp;$AE$3)</f>
        <v>7</v>
      </c>
      <c r="U49" s="12">
        <f>+Housekeeping_sample[[#This Row],[Hkpg median]]*Housekeeping_sample[[#This Row],[Hkpg Hrsn]]</f>
        <v>151861</v>
      </c>
      <c r="V49" s="12">
        <f>+Housekeeping_sample[[#This Row],[Hkpg average]]*Housekeeping_sample[[#This Row],[Hkpg Hrsn]]</f>
        <v>146258.73285714287</v>
      </c>
      <c r="W49" s="14">
        <f>Housekeeping_sample[[#This Row],[Est median wage cost ]]/Housekeeping_sample[[#This Row],[Costs Rate Estimator]]</f>
        <v>0.97072378724247477</v>
      </c>
      <c r="X49" s="14">
        <f>Housekeeping_sample[[#This Row],[Est average wage cost]]/Housekeeping_sample[[#This Row],[Costs Rate Estimator]]</f>
        <v>0.93491305257025248</v>
      </c>
      <c r="Y49" s="14">
        <f>+Housekeeping_sample[[#This Row],[Hkpg min]]/Housekeeping_sample[[#This Row],[Hkpg median]]</f>
        <v>0.91176470588235292</v>
      </c>
      <c r="Z49" s="14">
        <f>+Housekeeping_sample[[#This Row],[Hkpg max]]/Housekeeping_sample[[#This Row],[Hkpg median]]</f>
        <v>1</v>
      </c>
      <c r="AA49" s="10">
        <f>VLOOKUP(A49,Summary!$1:$1048576,2,FALSE)</f>
        <v>2</v>
      </c>
    </row>
    <row r="50" spans="1:27" x14ac:dyDescent="0.55000000000000004">
      <c r="A50" s="10">
        <v>646</v>
      </c>
      <c r="B50" s="10" t="s">
        <v>54</v>
      </c>
      <c r="C50" s="10">
        <f>VLOOKUP($A50,'SAS Data'!$1:$1048576,MATCH(C$1,'SAS Data'!$3:$3,0),FALSE)</f>
        <v>15</v>
      </c>
      <c r="D50" s="10">
        <f>VLOOKUP($A50,'SAS Data'!$1:$1048576,MATCH(D$1,'SAS Data'!$3:$3,0),FALSE)</f>
        <v>1</v>
      </c>
      <c r="E50" s="10">
        <f t="shared" si="1"/>
        <v>16</v>
      </c>
      <c r="F50" s="11">
        <f>VLOOKUP($A50,'SAS Data'!$1:$1048576,MATCH(F$1,'SAS Data'!$3:$3,0),FALSE)</f>
        <v>17.443621399176955</v>
      </c>
      <c r="G50" s="12">
        <f>VLOOKUP($A50,'SAS Data'!$1:$1048576,MATCH(G$1,'SAS Data'!$3:$3,0),FALSE)</f>
        <v>8505</v>
      </c>
      <c r="H50" s="12">
        <f>+Housekeeping_sample[[#This Row],[Hkpg Cph]]*Housekeeping_sample[[#This Row],[Hkpg Hrsn]]</f>
        <v>148358</v>
      </c>
      <c r="I50" s="12">
        <f>VLOOKUP(Housekeeping_sample[[#This Row],[Random ID]],'Estimator data 120523'!$A:$H,8,FALSE)</f>
        <v>148960</v>
      </c>
      <c r="J50" s="11">
        <f>+Housekeeping_sample[[#This Row],[Costs Rate Estimator]]/Housekeeping_sample[[#This Row],[Hkpg Hrsn]]</f>
        <v>17.514403292181068</v>
      </c>
      <c r="K50" s="10">
        <f>COUNTIF('HSKG detail'!A:A,A50)</f>
        <v>14</v>
      </c>
      <c r="L50" s="13">
        <v>15.57</v>
      </c>
      <c r="M50" s="13">
        <v>18.98</v>
      </c>
      <c r="N50" s="13">
        <v>18.515000000000001</v>
      </c>
      <c r="O50" s="13">
        <v>18.231428571428573</v>
      </c>
      <c r="P50" s="10">
        <f>COUNTIFS('HSKG detail'!$A:$A,$A50,'HSKG detail'!$C:$C,"&lt;"&amp;N50)</f>
        <v>7</v>
      </c>
      <c r="Q50" s="10">
        <f>COUNTIFS('HSKG detail'!$A:$A,$A50,'HSKG detail'!$C:$C,"&lt;"&amp;O50)</f>
        <v>3</v>
      </c>
      <c r="R50" s="10">
        <f>COUNTIFS('HSKG detail'!$A:$A,$A50,'HSKG detail'!$C:$C,"&lt;"&amp;$AE$1)</f>
        <v>14</v>
      </c>
      <c r="S50" s="10">
        <f>COUNTIFS('HSKG detail'!$A:$A,$A50,'HSKG detail'!$C:$C,"&lt;"&amp;$AE$2)</f>
        <v>2</v>
      </c>
      <c r="T50" s="10">
        <f>COUNTIFS('HSKG detail'!$A:$A,$A50,'HSKG detail'!$C:$C,"&lt;"&amp;$AE$3)</f>
        <v>3</v>
      </c>
      <c r="U50" s="12">
        <f>+Housekeeping_sample[[#This Row],[Hkpg median]]*Housekeeping_sample[[#This Row],[Hkpg Hrsn]]</f>
        <v>157470.07500000001</v>
      </c>
      <c r="V50" s="12">
        <f>+Housekeeping_sample[[#This Row],[Hkpg average]]*Housekeeping_sample[[#This Row],[Hkpg Hrsn]]</f>
        <v>155058.30000000002</v>
      </c>
      <c r="W50" s="14">
        <f>Housekeeping_sample[[#This Row],[Est median wage cost ]]/Housekeeping_sample[[#This Row],[Costs Rate Estimator]]</f>
        <v>1.0571299342105265</v>
      </c>
      <c r="X50" s="14">
        <f>Housekeeping_sample[[#This Row],[Est average wage cost]]/Housekeeping_sample[[#This Row],[Costs Rate Estimator]]</f>
        <v>1.0409391783029003</v>
      </c>
      <c r="Y50" s="14">
        <f>+Housekeeping_sample[[#This Row],[Hkpg min]]/Housekeeping_sample[[#This Row],[Hkpg median]]</f>
        <v>0.84093977855792601</v>
      </c>
      <c r="Z50" s="14">
        <f>+Housekeeping_sample[[#This Row],[Hkpg max]]/Housekeeping_sample[[#This Row],[Hkpg median]]</f>
        <v>1.0251147718066433</v>
      </c>
      <c r="AA50" s="10">
        <f>VLOOKUP(A50,Summary!$1:$1048576,2,FALSE)</f>
        <v>3</v>
      </c>
    </row>
    <row r="51" spans="1:27" x14ac:dyDescent="0.55000000000000004">
      <c r="A51" s="10">
        <v>183</v>
      </c>
      <c r="B51" s="10" t="s">
        <v>54</v>
      </c>
      <c r="C51" s="10">
        <f>VLOOKUP($A51,'SAS Data'!$1:$1048576,MATCH(C$1,'SAS Data'!$3:$3,0),FALSE)</f>
        <v>0</v>
      </c>
      <c r="D51" s="10">
        <f>VLOOKUP($A51,'SAS Data'!$1:$1048576,MATCH(D$1,'SAS Data'!$3:$3,0),FALSE)</f>
        <v>0</v>
      </c>
      <c r="E51" s="10">
        <f t="shared" si="1"/>
        <v>0</v>
      </c>
      <c r="F51" s="11">
        <f>VLOOKUP($A51,'SAS Data'!$1:$1048576,MATCH(F$1,'SAS Data'!$3:$3,0),FALSE)</f>
        <v>0</v>
      </c>
      <c r="G51" s="12">
        <f>VLOOKUP($A51,'SAS Data'!$1:$1048576,MATCH(G$1,'SAS Data'!$3:$3,0),FALSE)</f>
        <v>5548</v>
      </c>
      <c r="H51" s="12">
        <f>+Housekeeping_sample[[#This Row],[Hkpg Cph]]*Housekeeping_sample[[#This Row],[Hkpg Hrsn]]</f>
        <v>0</v>
      </c>
      <c r="I51" s="12">
        <f>VLOOKUP(Housekeeping_sample[[#This Row],[Random ID]],'Estimator data 120523'!$A:$H,8,FALSE)</f>
        <v>97180.922592913514</v>
      </c>
      <c r="J51" s="11">
        <f>+Housekeeping_sample[[#This Row],[Costs Rate Estimator]]/Housekeeping_sample[[#This Row],[Hkpg Hrsn]]</f>
        <v>17.516388354887077</v>
      </c>
      <c r="K51" s="10">
        <f>COUNTIF('HSKG detail'!A:A,A51)</f>
        <v>4</v>
      </c>
      <c r="L51" s="13">
        <v>21.17</v>
      </c>
      <c r="M51" s="13">
        <v>26.71</v>
      </c>
      <c r="N51" s="13">
        <v>22.990000000000002</v>
      </c>
      <c r="O51" s="13">
        <v>23.465</v>
      </c>
      <c r="P51" s="10">
        <f>COUNTIFS('HSKG detail'!$A:$A,$A51,'HSKG detail'!$C:$C,"&lt;"&amp;N51)</f>
        <v>2</v>
      </c>
      <c r="Q51" s="10">
        <f>COUNTIFS('HSKG detail'!$A:$A,$A51,'HSKG detail'!$C:$C,"&lt;"&amp;O51)</f>
        <v>2</v>
      </c>
      <c r="R51" s="10">
        <f>COUNTIFS('HSKG detail'!$A:$A,$A51,'HSKG detail'!$C:$C,"&lt;"&amp;$AE$1)</f>
        <v>3</v>
      </c>
      <c r="S51" s="10">
        <f>COUNTIFS('HSKG detail'!$A:$A,$A51,'HSKG detail'!$C:$C,"&lt;"&amp;$AE$2)</f>
        <v>0</v>
      </c>
      <c r="T51" s="10">
        <f>COUNTIFS('HSKG detail'!$A:$A,$A51,'HSKG detail'!$C:$C,"&lt;"&amp;$AE$3)</f>
        <v>0</v>
      </c>
      <c r="U51" s="12">
        <f>+Housekeeping_sample[[#This Row],[Hkpg median]]*Housekeeping_sample[[#This Row],[Hkpg Hrsn]]</f>
        <v>127548.52</v>
      </c>
      <c r="V51" s="12">
        <f>+Housekeeping_sample[[#This Row],[Hkpg average]]*Housekeeping_sample[[#This Row],[Hkpg Hrsn]]</f>
        <v>130183.81999999999</v>
      </c>
      <c r="W51" s="14">
        <f>Housekeeping_sample[[#This Row],[Est median wage cost ]]/Housekeeping_sample[[#This Row],[Costs Rate Estimator]]</f>
        <v>1.3124851729829217</v>
      </c>
      <c r="X51" s="14">
        <f>Housekeeping_sample[[#This Row],[Est average wage cost]]/Housekeeping_sample[[#This Row],[Costs Rate Estimator]]</f>
        <v>1.3396026352346346</v>
      </c>
      <c r="Y51" s="14">
        <f>+Housekeeping_sample[[#This Row],[Hkpg min]]/Housekeeping_sample[[#This Row],[Hkpg median]]</f>
        <v>0.92083514571552849</v>
      </c>
      <c r="Z51" s="14">
        <f>+Housekeeping_sample[[#This Row],[Hkpg max]]/Housekeeping_sample[[#This Row],[Hkpg median]]</f>
        <v>1.1618094823836449</v>
      </c>
      <c r="AA51" s="10">
        <f>VLOOKUP(A51,Summary!$1:$1048576,2,FALSE)</f>
        <v>1</v>
      </c>
    </row>
    <row r="52" spans="1:27" x14ac:dyDescent="0.55000000000000004">
      <c r="A52" s="10">
        <v>852</v>
      </c>
      <c r="B52" s="10" t="s">
        <v>54</v>
      </c>
      <c r="C52" s="10">
        <f>VLOOKUP($A52,'SAS Data'!$1:$1048576,MATCH(C$1,'SAS Data'!$3:$3,0),FALSE)</f>
        <v>3</v>
      </c>
      <c r="D52" s="10">
        <f>VLOOKUP($A52,'SAS Data'!$1:$1048576,MATCH(D$1,'SAS Data'!$3:$3,0),FALSE)</f>
        <v>4</v>
      </c>
      <c r="E52" s="10">
        <f t="shared" si="1"/>
        <v>7</v>
      </c>
      <c r="F52" s="11">
        <f>VLOOKUP($A52,'SAS Data'!$1:$1048576,MATCH(F$1,'SAS Data'!$3:$3,0),FALSE)</f>
        <v>16.426085898527802</v>
      </c>
      <c r="G52" s="12">
        <f>VLOOKUP($A52,'SAS Data'!$1:$1048576,MATCH(G$1,'SAS Data'!$3:$3,0),FALSE)</f>
        <v>8219</v>
      </c>
      <c r="H52" s="12">
        <f>+Housekeeping_sample[[#This Row],[Hkpg Cph]]*Housekeeping_sample[[#This Row],[Hkpg Hrsn]]</f>
        <v>135006</v>
      </c>
      <c r="I52" s="12">
        <f>VLOOKUP(Housekeeping_sample[[#This Row],[Random ID]],'Estimator data 120523'!$A:$H,8,FALSE)</f>
        <v>144044</v>
      </c>
      <c r="J52" s="11">
        <f>+Housekeeping_sample[[#This Row],[Costs Rate Estimator]]/Housekeeping_sample[[#This Row],[Hkpg Hrsn]]</f>
        <v>17.52573305754958</v>
      </c>
      <c r="K52" s="10">
        <f>COUNTIF('HSKG detail'!A:A,A52)</f>
        <v>1</v>
      </c>
      <c r="L52" s="13">
        <v>15.3</v>
      </c>
      <c r="M52" s="13">
        <v>15.3</v>
      </c>
      <c r="N52" s="13">
        <v>15.3</v>
      </c>
      <c r="O52" s="13">
        <v>15.3</v>
      </c>
      <c r="P52" s="10">
        <f>COUNTIFS('HSKG detail'!$A:$A,$A52,'HSKG detail'!$C:$C,"&lt;"&amp;N52)</f>
        <v>0</v>
      </c>
      <c r="Q52" s="10">
        <f>COUNTIFS('HSKG detail'!$A:$A,$A52,'HSKG detail'!$C:$C,"&lt;"&amp;O52)</f>
        <v>0</v>
      </c>
      <c r="R52" s="10">
        <f>COUNTIFS('HSKG detail'!$A:$A,$A52,'HSKG detail'!$C:$C,"&lt;"&amp;$AE$1)</f>
        <v>1</v>
      </c>
      <c r="S52" s="10">
        <f>COUNTIFS('HSKG detail'!$A:$A,$A52,'HSKG detail'!$C:$C,"&lt;"&amp;$AE$2)</f>
        <v>1</v>
      </c>
      <c r="T52" s="10">
        <f>COUNTIFS('HSKG detail'!$A:$A,$A52,'HSKG detail'!$C:$C,"&lt;"&amp;$AE$3)</f>
        <v>1</v>
      </c>
      <c r="U52" s="12">
        <f>+Housekeeping_sample[[#This Row],[Hkpg median]]*Housekeeping_sample[[#This Row],[Hkpg Hrsn]]</f>
        <v>125750.70000000001</v>
      </c>
      <c r="V52" s="12">
        <f>+Housekeeping_sample[[#This Row],[Hkpg average]]*Housekeeping_sample[[#This Row],[Hkpg Hrsn]]</f>
        <v>125750.70000000001</v>
      </c>
      <c r="W52" s="14">
        <f>Housekeeping_sample[[#This Row],[Est median wage cost ]]/Housekeeping_sample[[#This Row],[Costs Rate Estimator]]</f>
        <v>0.87300199938907563</v>
      </c>
      <c r="X52" s="14">
        <f>Housekeeping_sample[[#This Row],[Est average wage cost]]/Housekeeping_sample[[#This Row],[Costs Rate Estimator]]</f>
        <v>0.87300199938907563</v>
      </c>
      <c r="Y52" s="14">
        <f>+Housekeeping_sample[[#This Row],[Hkpg min]]/Housekeeping_sample[[#This Row],[Hkpg median]]</f>
        <v>1</v>
      </c>
      <c r="Z52" s="14">
        <f>+Housekeeping_sample[[#This Row],[Hkpg max]]/Housekeeping_sample[[#This Row],[Hkpg median]]</f>
        <v>1</v>
      </c>
      <c r="AA52" s="10">
        <f>VLOOKUP(A52,Summary!$1:$1048576,2,FALSE)</f>
        <v>2</v>
      </c>
    </row>
    <row r="53" spans="1:27" x14ac:dyDescent="0.55000000000000004">
      <c r="A53" s="10">
        <v>962</v>
      </c>
      <c r="B53" s="10" t="s">
        <v>54</v>
      </c>
      <c r="C53" s="10">
        <f>VLOOKUP($A53,'SAS Data'!$1:$1048576,MATCH(C$1,'SAS Data'!$3:$3,0),FALSE)</f>
        <v>2</v>
      </c>
      <c r="D53" s="10">
        <f>VLOOKUP($A53,'SAS Data'!$1:$1048576,MATCH(D$1,'SAS Data'!$3:$3,0),FALSE)</f>
        <v>1</v>
      </c>
      <c r="E53" s="10">
        <f t="shared" si="1"/>
        <v>3</v>
      </c>
      <c r="F53" s="11">
        <f>VLOOKUP($A53,'SAS Data'!$1:$1048576,MATCH(F$1,'SAS Data'!$3:$3,0),FALSE)</f>
        <v>17.717100462174653</v>
      </c>
      <c r="G53" s="12">
        <f>VLOOKUP($A53,'SAS Data'!$1:$1048576,MATCH(G$1,'SAS Data'!$3:$3,0),FALSE)</f>
        <v>4111</v>
      </c>
      <c r="H53" s="12">
        <f>+Housekeeping_sample[[#This Row],[Hkpg Cph]]*Housekeeping_sample[[#This Row],[Hkpg Hrsn]]</f>
        <v>72835</v>
      </c>
      <c r="I53" s="12">
        <f>VLOOKUP(Housekeeping_sample[[#This Row],[Random ID]],'Estimator data 120523'!$A:$H,8,FALSE)</f>
        <v>72163</v>
      </c>
      <c r="J53" s="11">
        <f>+Housekeeping_sample[[#This Row],[Costs Rate Estimator]]/Housekeeping_sample[[#This Row],[Hkpg Hrsn]]</f>
        <v>17.553636584772562</v>
      </c>
      <c r="K53" s="10">
        <f>COUNTIF('HSKG detail'!A:A,A53)</f>
        <v>7</v>
      </c>
      <c r="L53" s="13">
        <v>15.6</v>
      </c>
      <c r="M53" s="13">
        <v>21.31</v>
      </c>
      <c r="N53" s="13">
        <v>18.89</v>
      </c>
      <c r="O53" s="13">
        <v>18.654285714285717</v>
      </c>
      <c r="P53" s="10">
        <f>COUNTIFS('HSKG detail'!$A:$A,$A53,'HSKG detail'!$C:$C,"&lt;"&amp;N53)</f>
        <v>3</v>
      </c>
      <c r="Q53" s="10">
        <f>COUNTIFS('HSKG detail'!$A:$A,$A53,'HSKG detail'!$C:$C,"&lt;"&amp;O53)</f>
        <v>3</v>
      </c>
      <c r="R53" s="10">
        <f>COUNTIFS('HSKG detail'!$A:$A,$A53,'HSKG detail'!$C:$C,"&lt;"&amp;$AE$1)</f>
        <v>7</v>
      </c>
      <c r="S53" s="10">
        <f>COUNTIFS('HSKG detail'!$A:$A,$A53,'HSKG detail'!$C:$C,"&lt;"&amp;$AE$2)</f>
        <v>1</v>
      </c>
      <c r="T53" s="10">
        <f>COUNTIFS('HSKG detail'!$A:$A,$A53,'HSKG detail'!$C:$C,"&lt;"&amp;$AE$3)</f>
        <v>1</v>
      </c>
      <c r="U53" s="12">
        <f>+Housekeeping_sample[[#This Row],[Hkpg median]]*Housekeeping_sample[[#This Row],[Hkpg Hrsn]]</f>
        <v>77656.790000000008</v>
      </c>
      <c r="V53" s="12">
        <f>+Housekeeping_sample[[#This Row],[Hkpg average]]*Housekeeping_sample[[#This Row],[Hkpg Hrsn]]</f>
        <v>76687.768571428576</v>
      </c>
      <c r="W53" s="14">
        <f>Housekeeping_sample[[#This Row],[Est median wage cost ]]/Housekeeping_sample[[#This Row],[Costs Rate Estimator]]</f>
        <v>1.0761302883749291</v>
      </c>
      <c r="X53" s="14">
        <f>Housekeeping_sample[[#This Row],[Est average wage cost]]/Housekeeping_sample[[#This Row],[Costs Rate Estimator]]</f>
        <v>1.062702057445347</v>
      </c>
      <c r="Y53" s="14">
        <f>+Housekeeping_sample[[#This Row],[Hkpg min]]/Housekeeping_sample[[#This Row],[Hkpg median]]</f>
        <v>0.82583377448385387</v>
      </c>
      <c r="Z53" s="14">
        <f>+Housekeeping_sample[[#This Row],[Hkpg max]]/Housekeeping_sample[[#This Row],[Hkpg median]]</f>
        <v>1.128110111169931</v>
      </c>
      <c r="AA53" s="10">
        <f>VLOOKUP(A53,Summary!$1:$1048576,2,FALSE)</f>
        <v>2</v>
      </c>
    </row>
    <row r="54" spans="1:27" x14ac:dyDescent="0.55000000000000004">
      <c r="A54" s="10">
        <v>817</v>
      </c>
      <c r="B54" s="10" t="s">
        <v>54</v>
      </c>
      <c r="C54" s="10">
        <f>VLOOKUP($A54,'SAS Data'!$1:$1048576,MATCH(C$1,'SAS Data'!$3:$3,0),FALSE)</f>
        <v>3</v>
      </c>
      <c r="D54" s="10">
        <f>VLOOKUP($A54,'SAS Data'!$1:$1048576,MATCH(D$1,'SAS Data'!$3:$3,0),FALSE)</f>
        <v>0</v>
      </c>
      <c r="E54" s="10">
        <f t="shared" si="1"/>
        <v>3</v>
      </c>
      <c r="F54" s="11">
        <f>VLOOKUP($A54,'SAS Data'!$1:$1048576,MATCH(F$1,'SAS Data'!$3:$3,0),FALSE)</f>
        <v>18.51114397380374</v>
      </c>
      <c r="G54" s="12">
        <f>VLOOKUP($A54,'SAS Data'!$1:$1048576,MATCH(G$1,'SAS Data'!$3:$3,0),FALSE)</f>
        <v>9467</v>
      </c>
      <c r="H54" s="12">
        <f>+Housekeeping_sample[[#This Row],[Hkpg Cph]]*Housekeeping_sample[[#This Row],[Hkpg Hrsn]]</f>
        <v>175245</v>
      </c>
      <c r="I54" s="12">
        <f>VLOOKUP(Housekeeping_sample[[#This Row],[Random ID]],'Estimator data 120523'!$A:$H,8,FALSE)</f>
        <v>166213</v>
      </c>
      <c r="J54" s="11">
        <f>+Housekeeping_sample[[#This Row],[Costs Rate Estimator]]/Housekeeping_sample[[#This Row],[Hkpg Hrsn]]</f>
        <v>17.557093060103519</v>
      </c>
      <c r="K54" s="10">
        <f>COUNTIF('HSKG detail'!A:A,A54)</f>
        <v>3</v>
      </c>
      <c r="L54" s="13">
        <v>14.95985294117647</v>
      </c>
      <c r="M54" s="13">
        <v>15.086212877624147</v>
      </c>
      <c r="N54" s="13">
        <v>15</v>
      </c>
      <c r="O54" s="13">
        <v>15.01535527293354</v>
      </c>
      <c r="P54" s="10">
        <f>COUNTIFS('HSKG detail'!$A:$A,$A54,'HSKG detail'!$C:$C,"&lt;"&amp;N54)</f>
        <v>1</v>
      </c>
      <c r="Q54" s="10">
        <f>COUNTIFS('HSKG detail'!$A:$A,$A54,'HSKG detail'!$C:$C,"&lt;"&amp;O54)</f>
        <v>2</v>
      </c>
      <c r="R54" s="10">
        <f>COUNTIFS('HSKG detail'!$A:$A,$A54,'HSKG detail'!$C:$C,"&lt;"&amp;$AE$1)</f>
        <v>3</v>
      </c>
      <c r="S54" s="10">
        <f>COUNTIFS('HSKG detail'!$A:$A,$A54,'HSKG detail'!$C:$C,"&lt;"&amp;$AE$2)</f>
        <v>3</v>
      </c>
      <c r="T54" s="10">
        <f>COUNTIFS('HSKG detail'!$A:$A,$A54,'HSKG detail'!$C:$C,"&lt;"&amp;$AE$3)</f>
        <v>3</v>
      </c>
      <c r="U54" s="12">
        <f>+Housekeeping_sample[[#This Row],[Hkpg median]]*Housekeeping_sample[[#This Row],[Hkpg Hrsn]]</f>
        <v>142005</v>
      </c>
      <c r="V54" s="12">
        <f>+Housekeeping_sample[[#This Row],[Hkpg average]]*Housekeeping_sample[[#This Row],[Hkpg Hrsn]]</f>
        <v>142150.36836886182</v>
      </c>
      <c r="W54" s="14">
        <f>Housekeeping_sample[[#This Row],[Est median wage cost ]]/Housekeeping_sample[[#This Row],[Costs Rate Estimator]]</f>
        <v>0.85435555582295009</v>
      </c>
      <c r="X54" s="14">
        <f>Housekeeping_sample[[#This Row],[Est average wage cost]]/Housekeeping_sample[[#This Row],[Costs Rate Estimator]]</f>
        <v>0.85523014667241326</v>
      </c>
      <c r="Y54" s="14">
        <f>+Housekeeping_sample[[#This Row],[Hkpg min]]/Housekeeping_sample[[#This Row],[Hkpg median]]</f>
        <v>0.99732352941176461</v>
      </c>
      <c r="Z54" s="14">
        <f>+Housekeeping_sample[[#This Row],[Hkpg max]]/Housekeeping_sample[[#This Row],[Hkpg median]]</f>
        <v>1.0057475251749433</v>
      </c>
      <c r="AA54" s="10">
        <f>VLOOKUP(A54,Summary!$1:$1048576,2,FALSE)</f>
        <v>3</v>
      </c>
    </row>
    <row r="55" spans="1:27" x14ac:dyDescent="0.55000000000000004">
      <c r="A55" s="10">
        <v>824</v>
      </c>
      <c r="B55" s="10" t="s">
        <v>54</v>
      </c>
      <c r="C55" s="10">
        <f>VLOOKUP($A55,'SAS Data'!$1:$1048576,MATCH(C$1,'SAS Data'!$3:$3,0),FALSE)</f>
        <v>7</v>
      </c>
      <c r="D55" s="10">
        <f>VLOOKUP($A55,'SAS Data'!$1:$1048576,MATCH(D$1,'SAS Data'!$3:$3,0),FALSE)</f>
        <v>3</v>
      </c>
      <c r="E55" s="10">
        <f t="shared" si="1"/>
        <v>10</v>
      </c>
      <c r="F55" s="11">
        <f>VLOOKUP($A55,'SAS Data'!$1:$1048576,MATCH(F$1,'SAS Data'!$3:$3,0),FALSE)</f>
        <v>17.623733108108109</v>
      </c>
      <c r="G55" s="12">
        <f>VLOOKUP($A55,'SAS Data'!$1:$1048576,MATCH(G$1,'SAS Data'!$3:$3,0),FALSE)</f>
        <v>9472</v>
      </c>
      <c r="H55" s="12">
        <f>+Housekeeping_sample[[#This Row],[Hkpg Cph]]*Housekeeping_sample[[#This Row],[Hkpg Hrsn]]</f>
        <v>166932</v>
      </c>
      <c r="I55" s="12">
        <f>VLOOKUP(Housekeeping_sample[[#This Row],[Random ID]],'Estimator data 120523'!$A:$H,8,FALSE)</f>
        <v>166932</v>
      </c>
      <c r="J55" s="11">
        <f>+Housekeeping_sample[[#This Row],[Costs Rate Estimator]]/Housekeeping_sample[[#This Row],[Hkpg Hrsn]]</f>
        <v>17.623733108108109</v>
      </c>
      <c r="K55" s="10">
        <f>COUNTIF('HSKG detail'!A:A,A55)</f>
        <v>12</v>
      </c>
      <c r="L55" s="13">
        <v>16.37</v>
      </c>
      <c r="M55" s="13">
        <v>21.01</v>
      </c>
      <c r="N55" s="13">
        <v>17.965</v>
      </c>
      <c r="O55" s="13">
        <v>18.4175</v>
      </c>
      <c r="P55" s="10">
        <f>COUNTIFS('HSKG detail'!$A:$A,$A55,'HSKG detail'!$C:$C,"&lt;"&amp;N55)</f>
        <v>6</v>
      </c>
      <c r="Q55" s="10">
        <f>COUNTIFS('HSKG detail'!$A:$A,$A55,'HSKG detail'!$C:$C,"&lt;"&amp;O55)</f>
        <v>7</v>
      </c>
      <c r="R55" s="10">
        <f>COUNTIFS('HSKG detail'!$A:$A,$A55,'HSKG detail'!$C:$C,"&lt;"&amp;$AE$1)</f>
        <v>12</v>
      </c>
      <c r="S55" s="10">
        <f>COUNTIFS('HSKG detail'!$A:$A,$A55,'HSKG detail'!$C:$C,"&lt;"&amp;$AE$2)</f>
        <v>3</v>
      </c>
      <c r="T55" s="10">
        <f>COUNTIFS('HSKG detail'!$A:$A,$A55,'HSKG detail'!$C:$C,"&lt;"&amp;$AE$3)</f>
        <v>3</v>
      </c>
      <c r="U55" s="12">
        <f>+Housekeeping_sample[[#This Row],[Hkpg median]]*Housekeeping_sample[[#This Row],[Hkpg Hrsn]]</f>
        <v>170164.48000000001</v>
      </c>
      <c r="V55" s="12">
        <f>+Housekeeping_sample[[#This Row],[Hkpg average]]*Housekeeping_sample[[#This Row],[Hkpg Hrsn]]</f>
        <v>174450.56</v>
      </c>
      <c r="W55" s="14">
        <f>Housekeeping_sample[[#This Row],[Est median wage cost ]]/Housekeeping_sample[[#This Row],[Costs Rate Estimator]]</f>
        <v>1.0193640524285339</v>
      </c>
      <c r="X55" s="14">
        <f>Housekeeping_sample[[#This Row],[Est average wage cost]]/Housekeeping_sample[[#This Row],[Costs Rate Estimator]]</f>
        <v>1.045039656866269</v>
      </c>
      <c r="Y55" s="14">
        <f>+Housekeeping_sample[[#This Row],[Hkpg min]]/Housekeeping_sample[[#This Row],[Hkpg median]]</f>
        <v>0.91121625382688565</v>
      </c>
      <c r="Z55" s="14">
        <f>+Housekeeping_sample[[#This Row],[Hkpg max]]/Housekeeping_sample[[#This Row],[Hkpg median]]</f>
        <v>1.1694962426941276</v>
      </c>
      <c r="AA55" s="10">
        <f>VLOOKUP(A55,Summary!$1:$1048576,2,FALSE)</f>
        <v>1</v>
      </c>
    </row>
    <row r="56" spans="1:27" x14ac:dyDescent="0.55000000000000004">
      <c r="A56" s="10">
        <v>212</v>
      </c>
      <c r="B56" s="10" t="s">
        <v>54</v>
      </c>
      <c r="C56" s="10">
        <f>VLOOKUP($A56,'SAS Data'!$1:$1048576,MATCH(C$1,'SAS Data'!$3:$3,0),FALSE)</f>
        <v>2</v>
      </c>
      <c r="D56" s="10">
        <f>VLOOKUP($A56,'SAS Data'!$1:$1048576,MATCH(D$1,'SAS Data'!$3:$3,0),FALSE)</f>
        <v>7</v>
      </c>
      <c r="E56" s="10">
        <f t="shared" si="1"/>
        <v>9</v>
      </c>
      <c r="F56" s="11">
        <f>VLOOKUP($A56,'SAS Data'!$1:$1048576,MATCH(F$1,'SAS Data'!$3:$3,0),FALSE)</f>
        <v>17.494840041279669</v>
      </c>
      <c r="G56" s="12">
        <f>VLOOKUP($A56,'SAS Data'!$1:$1048576,MATCH(G$1,'SAS Data'!$3:$3,0),FALSE)</f>
        <v>7752</v>
      </c>
      <c r="H56" s="12">
        <f>+Housekeeping_sample[[#This Row],[Hkpg Cph]]*Housekeeping_sample[[#This Row],[Hkpg Hrsn]]</f>
        <v>135620</v>
      </c>
      <c r="I56" s="12">
        <f>VLOOKUP(Housekeeping_sample[[#This Row],[Random ID]],'Estimator data 120523'!$A:$H,8,FALSE)</f>
        <v>136704</v>
      </c>
      <c r="J56" s="11">
        <f>+Housekeeping_sample[[#This Row],[Costs Rate Estimator]]/Housekeeping_sample[[#This Row],[Hkpg Hrsn]]</f>
        <v>17.63467492260062</v>
      </c>
      <c r="K56" s="10">
        <f>COUNTIF('HSKG detail'!A:A,A56)</f>
        <v>7</v>
      </c>
      <c r="L56" s="13">
        <v>14</v>
      </c>
      <c r="M56" s="13">
        <v>19.829999999999998</v>
      </c>
      <c r="N56" s="13">
        <v>14.95</v>
      </c>
      <c r="O56" s="13">
        <v>16.475714285714286</v>
      </c>
      <c r="P56" s="10">
        <f>COUNTIFS('HSKG detail'!$A:$A,$A56,'HSKG detail'!$C:$C,"&lt;"&amp;N56)</f>
        <v>3</v>
      </c>
      <c r="Q56" s="10">
        <f>COUNTIFS('HSKG detail'!$A:$A,$A56,'HSKG detail'!$C:$C,"&lt;"&amp;O56)</f>
        <v>4</v>
      </c>
      <c r="R56" s="10">
        <f>COUNTIFS('HSKG detail'!$A:$A,$A56,'HSKG detail'!$C:$C,"&lt;"&amp;$AE$1)</f>
        <v>7</v>
      </c>
      <c r="S56" s="10">
        <f>COUNTIFS('HSKG detail'!$A:$A,$A56,'HSKG detail'!$C:$C,"&lt;"&amp;$AE$2)</f>
        <v>4</v>
      </c>
      <c r="T56" s="10">
        <f>COUNTIFS('HSKG detail'!$A:$A,$A56,'HSKG detail'!$C:$C,"&lt;"&amp;$AE$3)</f>
        <v>4</v>
      </c>
      <c r="U56" s="12">
        <f>+Housekeeping_sample[[#This Row],[Hkpg median]]*Housekeeping_sample[[#This Row],[Hkpg Hrsn]]</f>
        <v>115892.4</v>
      </c>
      <c r="V56" s="12">
        <f>+Housekeeping_sample[[#This Row],[Hkpg average]]*Housekeeping_sample[[#This Row],[Hkpg Hrsn]]</f>
        <v>127719.73714285715</v>
      </c>
      <c r="W56" s="14">
        <f>Housekeeping_sample[[#This Row],[Est median wage cost ]]/Housekeeping_sample[[#This Row],[Costs Rate Estimator]]</f>
        <v>0.84776158707865168</v>
      </c>
      <c r="X56" s="14">
        <f>Housekeeping_sample[[#This Row],[Est average wage cost]]/Housekeeping_sample[[#This Row],[Costs Rate Estimator]]</f>
        <v>0.93427944422150888</v>
      </c>
      <c r="Y56" s="14">
        <f>+Housekeeping_sample[[#This Row],[Hkpg min]]/Housekeeping_sample[[#This Row],[Hkpg median]]</f>
        <v>0.9364548494983278</v>
      </c>
      <c r="Z56" s="14">
        <f>+Housekeeping_sample[[#This Row],[Hkpg max]]/Housekeeping_sample[[#This Row],[Hkpg median]]</f>
        <v>1.3264214046822742</v>
      </c>
      <c r="AA56" s="10">
        <f>VLOOKUP(A56,Summary!$1:$1048576,2,FALSE)</f>
        <v>3</v>
      </c>
    </row>
    <row r="57" spans="1:27" x14ac:dyDescent="0.55000000000000004">
      <c r="A57" s="10">
        <v>606</v>
      </c>
      <c r="B57" s="10" t="s">
        <v>54</v>
      </c>
      <c r="C57" s="10">
        <f>VLOOKUP($A57,'SAS Data'!$1:$1048576,MATCH(C$1,'SAS Data'!$3:$3,0),FALSE)</f>
        <v>2</v>
      </c>
      <c r="D57" s="10">
        <f>VLOOKUP($A57,'SAS Data'!$1:$1048576,MATCH(D$1,'SAS Data'!$3:$3,0),FALSE)</f>
        <v>1</v>
      </c>
      <c r="E57" s="10">
        <f t="shared" si="1"/>
        <v>3</v>
      </c>
      <c r="F57" s="11">
        <f>VLOOKUP($A57,'SAS Data'!$1:$1048576,MATCH(F$1,'SAS Data'!$3:$3,0),FALSE)</f>
        <v>17.637587506731286</v>
      </c>
      <c r="G57" s="12">
        <f>VLOOKUP($A57,'SAS Data'!$1:$1048576,MATCH(G$1,'SAS Data'!$3:$3,0),FALSE)</f>
        <v>5571</v>
      </c>
      <c r="H57" s="12">
        <f>+Housekeeping_sample[[#This Row],[Hkpg Cph]]*Housekeeping_sample[[#This Row],[Hkpg Hrsn]]</f>
        <v>98259</v>
      </c>
      <c r="I57" s="12">
        <f>VLOOKUP(Housekeeping_sample[[#This Row],[Random ID]],'Estimator data 120523'!$A:$H,8,FALSE)</f>
        <v>98355</v>
      </c>
      <c r="J57" s="11">
        <f>+Housekeeping_sample[[#This Row],[Costs Rate Estimator]]/Housekeeping_sample[[#This Row],[Hkpg Hrsn]]</f>
        <v>17.654819601507807</v>
      </c>
      <c r="K57" s="10">
        <f>COUNTIF('HSKG detail'!A:A,A57)</f>
        <v>5</v>
      </c>
      <c r="L57" s="13">
        <v>14.99</v>
      </c>
      <c r="M57" s="13">
        <v>20.16</v>
      </c>
      <c r="N57" s="13">
        <v>17.649999999999999</v>
      </c>
      <c r="O57" s="13">
        <v>17.622222222222224</v>
      </c>
      <c r="P57" s="10">
        <f>COUNTIFS('HSKG detail'!$A:$A,$A57,'HSKG detail'!$C:$C,"&lt;"&amp;N57)</f>
        <v>4</v>
      </c>
      <c r="Q57" s="10">
        <f>COUNTIFS('HSKG detail'!$A:$A,$A57,'HSKG detail'!$C:$C,"&lt;"&amp;O57)</f>
        <v>4</v>
      </c>
      <c r="R57" s="10">
        <f>COUNTIFS('HSKG detail'!$A:$A,$A57,'HSKG detail'!$C:$C,"&lt;"&amp;$AE$1)</f>
        <v>5</v>
      </c>
      <c r="S57" s="10">
        <f>COUNTIFS('HSKG detail'!$A:$A,$A57,'HSKG detail'!$C:$C,"&lt;"&amp;$AE$2)</f>
        <v>4</v>
      </c>
      <c r="T57" s="10">
        <f>COUNTIFS('HSKG detail'!$A:$A,$A57,'HSKG detail'!$C:$C,"&lt;"&amp;$AE$3)</f>
        <v>4</v>
      </c>
      <c r="U57" s="12">
        <f>+Housekeeping_sample[[#This Row],[Hkpg median]]*Housekeeping_sample[[#This Row],[Hkpg Hrsn]]</f>
        <v>98328.15</v>
      </c>
      <c r="V57" s="12">
        <f>+Housekeeping_sample[[#This Row],[Hkpg average]]*Housekeeping_sample[[#This Row],[Hkpg Hrsn]]</f>
        <v>98173.400000000009</v>
      </c>
      <c r="W57" s="14">
        <f>Housekeeping_sample[[#This Row],[Est median wage cost ]]/Housekeeping_sample[[#This Row],[Costs Rate Estimator]]</f>
        <v>0.99972700930303482</v>
      </c>
      <c r="X57" s="14">
        <f>Housekeeping_sample[[#This Row],[Est average wage cost]]/Housekeeping_sample[[#This Row],[Costs Rate Estimator]]</f>
        <v>0.99815362716689549</v>
      </c>
      <c r="Y57" s="14">
        <f>+Housekeeping_sample[[#This Row],[Hkpg min]]/Housekeeping_sample[[#This Row],[Hkpg median]]</f>
        <v>0.84929178470254962</v>
      </c>
      <c r="Z57" s="14">
        <f>+Housekeeping_sample[[#This Row],[Hkpg max]]/Housekeeping_sample[[#This Row],[Hkpg median]]</f>
        <v>1.1422096317280455</v>
      </c>
      <c r="AA57" s="10">
        <f>VLOOKUP(A57,Summary!$1:$1048576,2,FALSE)</f>
        <v>2</v>
      </c>
    </row>
    <row r="58" spans="1:27" x14ac:dyDescent="0.55000000000000004">
      <c r="A58" s="10">
        <v>382</v>
      </c>
      <c r="B58" s="10" t="s">
        <v>54</v>
      </c>
      <c r="C58" s="10">
        <f>VLOOKUP($A58,'SAS Data'!$1:$1048576,MATCH(C$1,'SAS Data'!$3:$3,0),FALSE)</f>
        <v>4</v>
      </c>
      <c r="D58" s="10">
        <f>VLOOKUP($A58,'SAS Data'!$1:$1048576,MATCH(D$1,'SAS Data'!$3:$3,0),FALSE)</f>
        <v>1</v>
      </c>
      <c r="E58" s="10">
        <f t="shared" si="1"/>
        <v>5</v>
      </c>
      <c r="F58" s="11">
        <f>VLOOKUP($A58,'SAS Data'!$1:$1048576,MATCH(F$1,'SAS Data'!$3:$3,0),FALSE)</f>
        <v>17.219486195501545</v>
      </c>
      <c r="G58" s="12">
        <f>VLOOKUP($A58,'SAS Data'!$1:$1048576,MATCH(G$1,'SAS Data'!$3:$3,0),FALSE)</f>
        <v>9381</v>
      </c>
      <c r="H58" s="12">
        <f>+Housekeeping_sample[[#This Row],[Hkpg Cph]]*Housekeeping_sample[[#This Row],[Hkpg Hrsn]]</f>
        <v>161536</v>
      </c>
      <c r="I58" s="12">
        <f>VLOOKUP(Housekeeping_sample[[#This Row],[Random ID]],'Estimator data 120523'!$A:$H,8,FALSE)</f>
        <v>165892</v>
      </c>
      <c r="J58" s="11">
        <f>+Housekeeping_sample[[#This Row],[Costs Rate Estimator]]/Housekeeping_sample[[#This Row],[Hkpg Hrsn]]</f>
        <v>17.683829016096364</v>
      </c>
      <c r="K58" s="10">
        <f>COUNTIF('HSKG detail'!A:A,A58)</f>
        <v>5</v>
      </c>
      <c r="L58" s="13">
        <v>15.43</v>
      </c>
      <c r="M58" s="13">
        <v>18.82</v>
      </c>
      <c r="N58" s="13">
        <v>16.2</v>
      </c>
      <c r="O58" s="13">
        <v>16.607999999999997</v>
      </c>
      <c r="P58" s="10">
        <f>COUNTIFS('HSKG detail'!$A:$A,$A58,'HSKG detail'!$C:$C,"&lt;"&amp;N58)</f>
        <v>2</v>
      </c>
      <c r="Q58" s="10">
        <f>COUNTIFS('HSKG detail'!$A:$A,$A58,'HSKG detail'!$C:$C,"&lt;"&amp;O58)</f>
        <v>3</v>
      </c>
      <c r="R58" s="10">
        <f>COUNTIFS('HSKG detail'!$A:$A,$A58,'HSKG detail'!$C:$C,"&lt;"&amp;$AE$1)</f>
        <v>5</v>
      </c>
      <c r="S58" s="10">
        <f>COUNTIFS('HSKG detail'!$A:$A,$A58,'HSKG detail'!$C:$C,"&lt;"&amp;$AE$2)</f>
        <v>4</v>
      </c>
      <c r="T58" s="10">
        <f>COUNTIFS('HSKG detail'!$A:$A,$A58,'HSKG detail'!$C:$C,"&lt;"&amp;$AE$3)</f>
        <v>4</v>
      </c>
      <c r="U58" s="12">
        <f>+Housekeeping_sample[[#This Row],[Hkpg median]]*Housekeeping_sample[[#This Row],[Hkpg Hrsn]]</f>
        <v>151972.19999999998</v>
      </c>
      <c r="V58" s="12">
        <f>+Housekeeping_sample[[#This Row],[Hkpg average]]*Housekeeping_sample[[#This Row],[Hkpg Hrsn]]</f>
        <v>155799.64799999996</v>
      </c>
      <c r="W58" s="14">
        <f>Housekeeping_sample[[#This Row],[Est median wage cost ]]/Housekeeping_sample[[#This Row],[Costs Rate Estimator]]</f>
        <v>0.91609119185976406</v>
      </c>
      <c r="X58" s="14">
        <f>Housekeeping_sample[[#This Row],[Est average wage cost]]/Housekeeping_sample[[#This Row],[Costs Rate Estimator]]</f>
        <v>0.93916311817326914</v>
      </c>
      <c r="Y58" s="14">
        <f>+Housekeeping_sample[[#This Row],[Hkpg min]]/Housekeeping_sample[[#This Row],[Hkpg median]]</f>
        <v>0.95246913580246917</v>
      </c>
      <c r="Z58" s="14">
        <f>+Housekeeping_sample[[#This Row],[Hkpg max]]/Housekeeping_sample[[#This Row],[Hkpg median]]</f>
        <v>1.1617283950617285</v>
      </c>
      <c r="AA58" s="10">
        <f>VLOOKUP(A58,Summary!$1:$1048576,2,FALSE)</f>
        <v>2</v>
      </c>
    </row>
    <row r="59" spans="1:27" x14ac:dyDescent="0.55000000000000004">
      <c r="A59" s="10">
        <v>114</v>
      </c>
      <c r="B59" s="10" t="s">
        <v>54</v>
      </c>
      <c r="C59" s="10">
        <f>VLOOKUP($A59,'SAS Data'!$1:$1048576,MATCH(C$1,'SAS Data'!$3:$3,0),FALSE)</f>
        <v>1</v>
      </c>
      <c r="D59" s="10">
        <f>VLOOKUP($A59,'SAS Data'!$1:$1048576,MATCH(D$1,'SAS Data'!$3:$3,0),FALSE)</f>
        <v>0</v>
      </c>
      <c r="E59" s="10">
        <f t="shared" si="1"/>
        <v>1</v>
      </c>
      <c r="F59" s="11">
        <f>VLOOKUP($A59,'SAS Data'!$1:$1048576,MATCH(F$1,'SAS Data'!$3:$3,0),FALSE)</f>
        <v>19.674130538351594</v>
      </c>
      <c r="G59" s="12">
        <f>VLOOKUP($A59,'SAS Data'!$1:$1048576,MATCH(G$1,'SAS Data'!$3:$3,0),FALSE)</f>
        <v>6297</v>
      </c>
      <c r="H59" s="12">
        <f>+Housekeeping_sample[[#This Row],[Hkpg Cph]]*Housekeeping_sample[[#This Row],[Hkpg Hrsn]]</f>
        <v>123887.99999999999</v>
      </c>
      <c r="I59" s="12">
        <f>VLOOKUP(Housekeeping_sample[[#This Row],[Random ID]],'Estimator data 120523'!$A:$H,8,FALSE)</f>
        <v>111798</v>
      </c>
      <c r="J59" s="11">
        <f>+Housekeeping_sample[[#This Row],[Costs Rate Estimator]]/Housekeeping_sample[[#This Row],[Hkpg Hrsn]]</f>
        <v>17.754168651738922</v>
      </c>
      <c r="K59" s="10">
        <f>COUNTIF('HSKG detail'!A:A,A59)</f>
        <v>2</v>
      </c>
      <c r="L59" s="13">
        <v>15.399999999999988</v>
      </c>
      <c r="M59" s="13">
        <v>16.420122312563265</v>
      </c>
      <c r="N59" s="13">
        <v>15.910061156281627</v>
      </c>
      <c r="O59" s="13">
        <v>15.910061156281627</v>
      </c>
      <c r="P59" s="10">
        <f>COUNTIFS('HSKG detail'!$A:$A,$A59,'HSKG detail'!$C:$C,"&lt;"&amp;N59)</f>
        <v>1</v>
      </c>
      <c r="Q59" s="10">
        <f>COUNTIFS('HSKG detail'!$A:$A,$A59,'HSKG detail'!$C:$C,"&lt;"&amp;O59)</f>
        <v>1</v>
      </c>
      <c r="R59" s="10">
        <f>COUNTIFS('HSKG detail'!$A:$A,$A59,'HSKG detail'!$C:$C,"&lt;"&amp;$AE$1)</f>
        <v>2</v>
      </c>
      <c r="S59" s="10">
        <f>COUNTIFS('HSKG detail'!$A:$A,$A59,'HSKG detail'!$C:$C,"&lt;"&amp;$AE$2)</f>
        <v>2</v>
      </c>
      <c r="T59" s="10">
        <f>COUNTIFS('HSKG detail'!$A:$A,$A59,'HSKG detail'!$C:$C,"&lt;"&amp;$AE$3)</f>
        <v>2</v>
      </c>
      <c r="U59" s="12">
        <f>+Housekeeping_sample[[#This Row],[Hkpg median]]*Housekeeping_sample[[#This Row],[Hkpg Hrsn]]</f>
        <v>100185.6551011054</v>
      </c>
      <c r="V59" s="12">
        <f>+Housekeeping_sample[[#This Row],[Hkpg average]]*Housekeeping_sample[[#This Row],[Hkpg Hrsn]]</f>
        <v>100185.6551011054</v>
      </c>
      <c r="W59" s="14">
        <f>Housekeeping_sample[[#This Row],[Est median wage cost ]]/Housekeeping_sample[[#This Row],[Costs Rate Estimator]]</f>
        <v>0.89613101398151485</v>
      </c>
      <c r="X59" s="14">
        <f>Housekeeping_sample[[#This Row],[Est average wage cost]]/Housekeeping_sample[[#This Row],[Costs Rate Estimator]]</f>
        <v>0.89613101398151485</v>
      </c>
      <c r="Y59" s="14">
        <f>+Housekeeping_sample[[#This Row],[Hkpg min]]/Housekeeping_sample[[#This Row],[Hkpg median]]</f>
        <v>0.96794096821681574</v>
      </c>
      <c r="Z59" s="14">
        <f>+Housekeeping_sample[[#This Row],[Hkpg max]]/Housekeeping_sample[[#This Row],[Hkpg median]]</f>
        <v>1.0320590317831844</v>
      </c>
      <c r="AA59" s="10">
        <f>VLOOKUP(A59,Summary!$1:$1048576,2,FALSE)</f>
        <v>3</v>
      </c>
    </row>
    <row r="60" spans="1:27" x14ac:dyDescent="0.55000000000000004">
      <c r="A60" s="10">
        <v>642</v>
      </c>
      <c r="B60" s="10" t="s">
        <v>54</v>
      </c>
      <c r="C60" s="10">
        <f>VLOOKUP($A60,'SAS Data'!$1:$1048576,MATCH(C$1,'SAS Data'!$3:$3,0),FALSE)</f>
        <v>5</v>
      </c>
      <c r="D60" s="10">
        <f>VLOOKUP($A60,'SAS Data'!$1:$1048576,MATCH(D$1,'SAS Data'!$3:$3,0),FALSE)</f>
        <v>4</v>
      </c>
      <c r="E60" s="10">
        <f t="shared" si="1"/>
        <v>9</v>
      </c>
      <c r="F60" s="11">
        <f>VLOOKUP($A60,'SAS Data'!$1:$1048576,MATCH(F$1,'SAS Data'!$3:$3,0),FALSE)</f>
        <v>17.819090121894359</v>
      </c>
      <c r="G60" s="12">
        <f>VLOOKUP($A60,'SAS Data'!$1:$1048576,MATCH(G$1,'SAS Data'!$3:$3,0),FALSE)</f>
        <v>15013</v>
      </c>
      <c r="H60" s="12">
        <f>+Housekeeping_sample[[#This Row],[Hkpg Cph]]*Housekeeping_sample[[#This Row],[Hkpg Hrsn]]</f>
        <v>267518</v>
      </c>
      <c r="I60" s="12">
        <f>VLOOKUP(Housekeeping_sample[[#This Row],[Random ID]],'Estimator data 120523'!$A:$H,8,FALSE)</f>
        <v>267518</v>
      </c>
      <c r="J60" s="11">
        <f>+Housekeeping_sample[[#This Row],[Costs Rate Estimator]]/Housekeeping_sample[[#This Row],[Hkpg Hrsn]]</f>
        <v>17.819090121894359</v>
      </c>
      <c r="K60" s="10">
        <f>COUNTIF('HSKG detail'!A:A,A60)</f>
        <v>8</v>
      </c>
      <c r="L60" s="13">
        <v>16.829999999999998</v>
      </c>
      <c r="M60" s="13">
        <v>19.38</v>
      </c>
      <c r="N60" s="13">
        <v>18.350000000000001</v>
      </c>
      <c r="O60" s="13">
        <v>18.166249999999998</v>
      </c>
      <c r="P60" s="10">
        <f>COUNTIFS('HSKG detail'!$A:$A,$A60,'HSKG detail'!$C:$C,"&lt;"&amp;N60)</f>
        <v>4</v>
      </c>
      <c r="Q60" s="10">
        <f>COUNTIFS('HSKG detail'!$A:$A,$A60,'HSKG detail'!$C:$C,"&lt;"&amp;O60)</f>
        <v>3</v>
      </c>
      <c r="R60" s="10">
        <f>COUNTIFS('HSKG detail'!$A:$A,$A60,'HSKG detail'!$C:$C,"&lt;"&amp;$AE$1)</f>
        <v>8</v>
      </c>
      <c r="S60" s="10">
        <f>COUNTIFS('HSKG detail'!$A:$A,$A60,'HSKG detail'!$C:$C,"&lt;"&amp;$AE$2)</f>
        <v>2</v>
      </c>
      <c r="T60" s="10">
        <f>COUNTIFS('HSKG detail'!$A:$A,$A60,'HSKG detail'!$C:$C,"&lt;"&amp;$AE$3)</f>
        <v>2</v>
      </c>
      <c r="U60" s="12">
        <f>+Housekeeping_sample[[#This Row],[Hkpg median]]*Housekeeping_sample[[#This Row],[Hkpg Hrsn]]</f>
        <v>275488.55000000005</v>
      </c>
      <c r="V60" s="12">
        <f>+Housekeeping_sample[[#This Row],[Hkpg average]]*Housekeeping_sample[[#This Row],[Hkpg Hrsn]]</f>
        <v>272729.91124999995</v>
      </c>
      <c r="W60" s="14">
        <f>Housekeeping_sample[[#This Row],[Est median wage cost ]]/Housekeeping_sample[[#This Row],[Costs Rate Estimator]]</f>
        <v>1.0297944437383655</v>
      </c>
      <c r="X60" s="14">
        <f>Housekeeping_sample[[#This Row],[Est average wage cost]]/Housekeeping_sample[[#This Row],[Costs Rate Estimator]]</f>
        <v>1.0194824694039277</v>
      </c>
      <c r="Y60" s="14">
        <f>+Housekeeping_sample[[#This Row],[Hkpg min]]/Housekeeping_sample[[#This Row],[Hkpg median]]</f>
        <v>0.91716621253405983</v>
      </c>
      <c r="Z60" s="14">
        <f>+Housekeeping_sample[[#This Row],[Hkpg max]]/Housekeeping_sample[[#This Row],[Hkpg median]]</f>
        <v>1.0561307901907355</v>
      </c>
      <c r="AA60" s="10">
        <f>VLOOKUP(A60,Summary!$1:$1048576,2,FALSE)</f>
        <v>1</v>
      </c>
    </row>
    <row r="61" spans="1:27" x14ac:dyDescent="0.55000000000000004">
      <c r="A61" s="10">
        <v>372</v>
      </c>
      <c r="B61" s="10" t="s">
        <v>54</v>
      </c>
      <c r="C61" s="10">
        <f>VLOOKUP($A61,'SAS Data'!$1:$1048576,MATCH(C$1,'SAS Data'!$3:$3,0),FALSE)</f>
        <v>5</v>
      </c>
      <c r="D61" s="10">
        <f>VLOOKUP($A61,'SAS Data'!$1:$1048576,MATCH(D$1,'SAS Data'!$3:$3,0),FALSE)</f>
        <v>2</v>
      </c>
      <c r="E61" s="10">
        <f t="shared" si="1"/>
        <v>7</v>
      </c>
      <c r="F61" s="11">
        <f>VLOOKUP($A61,'SAS Data'!$1:$1048576,MATCH(F$1,'SAS Data'!$3:$3,0),FALSE)</f>
        <v>17.957000828500416</v>
      </c>
      <c r="G61" s="12">
        <f>VLOOKUP($A61,'SAS Data'!$1:$1048576,MATCH(G$1,'SAS Data'!$3:$3,0),FALSE)</f>
        <v>12070</v>
      </c>
      <c r="H61" s="12">
        <f>+Housekeeping_sample[[#This Row],[Hkpg Cph]]*Housekeeping_sample[[#This Row],[Hkpg Hrsn]]</f>
        <v>216741.00000000003</v>
      </c>
      <c r="I61" s="12">
        <f>VLOOKUP(Housekeeping_sample[[#This Row],[Random ID]],'Estimator data 120523'!$A:$H,8,FALSE)</f>
        <v>216741</v>
      </c>
      <c r="J61" s="11">
        <f>+Housekeeping_sample[[#This Row],[Costs Rate Estimator]]/Housekeeping_sample[[#This Row],[Hkpg Hrsn]]</f>
        <v>17.957000828500416</v>
      </c>
      <c r="K61" s="10">
        <f>COUNTIF('HSKG detail'!A:A,A61)</f>
        <v>4</v>
      </c>
      <c r="L61" s="13">
        <v>15.6</v>
      </c>
      <c r="M61" s="13">
        <v>22.73</v>
      </c>
      <c r="N61" s="13">
        <v>16.53</v>
      </c>
      <c r="O61" s="13">
        <v>17.8475</v>
      </c>
      <c r="P61" s="10">
        <f>COUNTIFS('HSKG detail'!$A:$A,$A61,'HSKG detail'!$C:$C,"&lt;"&amp;N61)</f>
        <v>2</v>
      </c>
      <c r="Q61" s="10">
        <f>COUNTIFS('HSKG detail'!$A:$A,$A61,'HSKG detail'!$C:$C,"&lt;"&amp;O61)</f>
        <v>3</v>
      </c>
      <c r="R61" s="10">
        <f>COUNTIFS('HSKG detail'!$A:$A,$A61,'HSKG detail'!$C:$C,"&lt;"&amp;$AE$1)</f>
        <v>4</v>
      </c>
      <c r="S61" s="10">
        <f>COUNTIFS('HSKG detail'!$A:$A,$A61,'HSKG detail'!$C:$C,"&lt;"&amp;$AE$2)</f>
        <v>2</v>
      </c>
      <c r="T61" s="10">
        <f>COUNTIFS('HSKG detail'!$A:$A,$A61,'HSKG detail'!$C:$C,"&lt;"&amp;$AE$3)</f>
        <v>3</v>
      </c>
      <c r="U61" s="12">
        <f>+Housekeeping_sample[[#This Row],[Hkpg median]]*Housekeeping_sample[[#This Row],[Hkpg Hrsn]]</f>
        <v>199517.1</v>
      </c>
      <c r="V61" s="12">
        <f>+Housekeeping_sample[[#This Row],[Hkpg average]]*Housekeeping_sample[[#This Row],[Hkpg Hrsn]]</f>
        <v>215419.32500000001</v>
      </c>
      <c r="W61" s="14">
        <f>Housekeeping_sample[[#This Row],[Est median wage cost ]]/Housekeeping_sample[[#This Row],[Costs Rate Estimator]]</f>
        <v>0.92053234044320187</v>
      </c>
      <c r="X61" s="14">
        <f>Housekeeping_sample[[#This Row],[Est average wage cost]]/Housekeeping_sample[[#This Row],[Costs Rate Estimator]]</f>
        <v>0.99390205360314854</v>
      </c>
      <c r="Y61" s="14">
        <f>+Housekeeping_sample[[#This Row],[Hkpg min]]/Housekeeping_sample[[#This Row],[Hkpg median]]</f>
        <v>0.94373865698729575</v>
      </c>
      <c r="Z61" s="14">
        <f>+Housekeeping_sample[[#This Row],[Hkpg max]]/Housekeeping_sample[[#This Row],[Hkpg median]]</f>
        <v>1.3750756200846945</v>
      </c>
      <c r="AA61" s="10">
        <f>VLOOKUP(A61,Summary!$1:$1048576,2,FALSE)</f>
        <v>3</v>
      </c>
    </row>
    <row r="62" spans="1:27" x14ac:dyDescent="0.55000000000000004">
      <c r="A62" s="10">
        <v>902</v>
      </c>
      <c r="B62" s="10" t="s">
        <v>54</v>
      </c>
      <c r="C62" s="10">
        <f>VLOOKUP($A62,'SAS Data'!$1:$1048576,MATCH(C$1,'SAS Data'!$3:$3,0),FALSE)</f>
        <v>6</v>
      </c>
      <c r="D62" s="10">
        <f>VLOOKUP($A62,'SAS Data'!$1:$1048576,MATCH(D$1,'SAS Data'!$3:$3,0),FALSE)</f>
        <v>4</v>
      </c>
      <c r="E62" s="10">
        <f t="shared" si="1"/>
        <v>10</v>
      </c>
      <c r="F62" s="11">
        <f>VLOOKUP($A62,'SAS Data'!$1:$1048576,MATCH(F$1,'SAS Data'!$3:$3,0),FALSE)</f>
        <v>18.020511025551276</v>
      </c>
      <c r="G62" s="12">
        <f>VLOOKUP($A62,'SAS Data'!$1:$1048576,MATCH(G$1,'SAS Data'!$3:$3,0),FALSE)</f>
        <v>14285</v>
      </c>
      <c r="H62" s="12">
        <f>+Housekeeping_sample[[#This Row],[Hkpg Cph]]*Housekeeping_sample[[#This Row],[Hkpg Hrsn]]</f>
        <v>257422.99999999997</v>
      </c>
      <c r="I62" s="12">
        <f>VLOOKUP(Housekeeping_sample[[#This Row],[Random ID]],'Estimator data 120523'!$A:$H,8,FALSE)</f>
        <v>257423</v>
      </c>
      <c r="J62" s="11">
        <f>+Housekeeping_sample[[#This Row],[Costs Rate Estimator]]/Housekeeping_sample[[#This Row],[Hkpg Hrsn]]</f>
        <v>18.020511025551279</v>
      </c>
      <c r="K62" s="10">
        <f>COUNTIF('HSKG detail'!A:A,A62)</f>
        <v>9</v>
      </c>
      <c r="L62" s="13">
        <v>14.5</v>
      </c>
      <c r="M62" s="13">
        <v>18.04</v>
      </c>
      <c r="N62" s="13">
        <v>15.38</v>
      </c>
      <c r="O62" s="13">
        <v>15.927777777777777</v>
      </c>
      <c r="P62" s="10">
        <f>COUNTIFS('HSKG detail'!$A:$A,$A62,'HSKG detail'!$C:$C,"&lt;"&amp;N62)</f>
        <v>4</v>
      </c>
      <c r="Q62" s="10">
        <f>COUNTIFS('HSKG detail'!$A:$A,$A62,'HSKG detail'!$C:$C,"&lt;"&amp;O62)</f>
        <v>6</v>
      </c>
      <c r="R62" s="10">
        <f>COUNTIFS('HSKG detail'!$A:$A,$A62,'HSKG detail'!$C:$C,"&lt;"&amp;$AE$1)</f>
        <v>9</v>
      </c>
      <c r="S62" s="10">
        <f>COUNTIFS('HSKG detail'!$A:$A,$A62,'HSKG detail'!$C:$C,"&lt;"&amp;$AE$2)</f>
        <v>7</v>
      </c>
      <c r="T62" s="10">
        <f>COUNTIFS('HSKG detail'!$A:$A,$A62,'HSKG detail'!$C:$C,"&lt;"&amp;$AE$3)</f>
        <v>7</v>
      </c>
      <c r="U62" s="12">
        <f>+Housekeeping_sample[[#This Row],[Hkpg median]]*Housekeeping_sample[[#This Row],[Hkpg Hrsn]]</f>
        <v>219703.30000000002</v>
      </c>
      <c r="V62" s="12">
        <f>+Housekeeping_sample[[#This Row],[Hkpg average]]*Housekeeping_sample[[#This Row],[Hkpg Hrsn]]</f>
        <v>227528.30555555553</v>
      </c>
      <c r="W62" s="14">
        <f>Housekeeping_sample[[#This Row],[Est median wage cost ]]/Housekeeping_sample[[#This Row],[Costs Rate Estimator]]</f>
        <v>0.85347191198921624</v>
      </c>
      <c r="X62" s="14">
        <f>Housekeeping_sample[[#This Row],[Est average wage cost]]/Housekeeping_sample[[#This Row],[Costs Rate Estimator]]</f>
        <v>0.88386937280489908</v>
      </c>
      <c r="Y62" s="14">
        <f>+Housekeeping_sample[[#This Row],[Hkpg min]]/Housekeeping_sample[[#This Row],[Hkpg median]]</f>
        <v>0.94278283485045511</v>
      </c>
      <c r="Z62" s="14">
        <f>+Housekeeping_sample[[#This Row],[Hkpg max]]/Housekeeping_sample[[#This Row],[Hkpg median]]</f>
        <v>1.1729518855656695</v>
      </c>
      <c r="AA62" s="10">
        <f>VLOOKUP(A62,Summary!$1:$1048576,2,FALSE)</f>
        <v>3</v>
      </c>
    </row>
    <row r="63" spans="1:27" x14ac:dyDescent="0.55000000000000004">
      <c r="A63" s="10">
        <v>346</v>
      </c>
      <c r="B63" s="10" t="s">
        <v>54</v>
      </c>
      <c r="C63" s="10">
        <f>VLOOKUP($A63,'SAS Data'!$1:$1048576,MATCH(C$1,'SAS Data'!$3:$3,0),FALSE)</f>
        <v>0</v>
      </c>
      <c r="D63" s="10">
        <f>VLOOKUP($A63,'SAS Data'!$1:$1048576,MATCH(D$1,'SAS Data'!$3:$3,0),FALSE)</f>
        <v>2</v>
      </c>
      <c r="E63" s="10">
        <f t="shared" si="1"/>
        <v>2</v>
      </c>
      <c r="F63" s="11">
        <f>VLOOKUP($A63,'SAS Data'!$1:$1048576,MATCH(F$1,'SAS Data'!$3:$3,0),FALSE)</f>
        <v>18.570926143024618</v>
      </c>
      <c r="G63" s="12">
        <f>VLOOKUP($A63,'SAS Data'!$1:$1048576,MATCH(G$1,'SAS Data'!$3:$3,0),FALSE)</f>
        <v>2559</v>
      </c>
      <c r="H63" s="12">
        <f>+Housekeeping_sample[[#This Row],[Hkpg Cph]]*Housekeeping_sample[[#This Row],[Hkpg Hrsn]]</f>
        <v>47523</v>
      </c>
      <c r="I63" s="12">
        <f>VLOOKUP(Housekeeping_sample[[#This Row],[Random ID]],'Estimator data 120523'!$A:$H,8,FALSE)</f>
        <v>47523</v>
      </c>
      <c r="J63" s="11">
        <f>+Housekeeping_sample[[#This Row],[Costs Rate Estimator]]/Housekeeping_sample[[#This Row],[Hkpg Hrsn]]</f>
        <v>18.570926143024618</v>
      </c>
      <c r="K63" s="10">
        <f>COUNTIF('HSKG detail'!A:A,A63)</f>
        <v>1</v>
      </c>
      <c r="L63" s="13">
        <v>17.5</v>
      </c>
      <c r="M63" s="13">
        <v>17.5</v>
      </c>
      <c r="N63" s="13">
        <v>17.5</v>
      </c>
      <c r="O63" s="13">
        <v>17.5</v>
      </c>
      <c r="P63" s="10">
        <f>COUNTIFS('HSKG detail'!$A:$A,$A63,'HSKG detail'!$C:$C,"&lt;"&amp;N63)</f>
        <v>0</v>
      </c>
      <c r="Q63" s="10">
        <f>COUNTIFS('HSKG detail'!$A:$A,$A63,'HSKG detail'!$C:$C,"&lt;"&amp;O63)</f>
        <v>0</v>
      </c>
      <c r="R63" s="10">
        <f>COUNTIFS('HSKG detail'!$A:$A,$A63,'HSKG detail'!$C:$C,"&lt;"&amp;$AE$1)</f>
        <v>1</v>
      </c>
      <c r="S63" s="10">
        <f>COUNTIFS('HSKG detail'!$A:$A,$A63,'HSKG detail'!$C:$C,"&lt;"&amp;$AE$2)</f>
        <v>0</v>
      </c>
      <c r="T63" s="10">
        <f>COUNTIFS('HSKG detail'!$A:$A,$A63,'HSKG detail'!$C:$C,"&lt;"&amp;$AE$3)</f>
        <v>0</v>
      </c>
      <c r="U63" s="12">
        <f>+Housekeeping_sample[[#This Row],[Hkpg median]]*Housekeeping_sample[[#This Row],[Hkpg Hrsn]]</f>
        <v>44782.5</v>
      </c>
      <c r="V63" s="12">
        <f>+Housekeeping_sample[[#This Row],[Hkpg average]]*Housekeeping_sample[[#This Row],[Hkpg Hrsn]]</f>
        <v>44782.5</v>
      </c>
      <c r="W63" s="14">
        <f>Housekeeping_sample[[#This Row],[Est median wage cost ]]/Housekeeping_sample[[#This Row],[Costs Rate Estimator]]</f>
        <v>0.94233318603623506</v>
      </c>
      <c r="X63" s="14">
        <f>Housekeeping_sample[[#This Row],[Est average wage cost]]/Housekeeping_sample[[#This Row],[Costs Rate Estimator]]</f>
        <v>0.94233318603623506</v>
      </c>
      <c r="Y63" s="14">
        <f>+Housekeeping_sample[[#This Row],[Hkpg min]]/Housekeeping_sample[[#This Row],[Hkpg median]]</f>
        <v>1</v>
      </c>
      <c r="Z63" s="14">
        <f>+Housekeeping_sample[[#This Row],[Hkpg max]]/Housekeeping_sample[[#This Row],[Hkpg median]]</f>
        <v>1</v>
      </c>
      <c r="AA63" s="10">
        <f>VLOOKUP(A63,Summary!$1:$1048576,2,FALSE)</f>
        <v>2</v>
      </c>
    </row>
    <row r="64" spans="1:27" x14ac:dyDescent="0.55000000000000004">
      <c r="A64" s="10">
        <v>563</v>
      </c>
      <c r="B64" s="10" t="s">
        <v>54</v>
      </c>
      <c r="C64" s="10">
        <f>VLOOKUP($A64,'SAS Data'!$1:$1048576,MATCH(C$1,'SAS Data'!$3:$3,0),FALSE)</f>
        <v>2</v>
      </c>
      <c r="D64" s="10">
        <f>VLOOKUP($A64,'SAS Data'!$1:$1048576,MATCH(D$1,'SAS Data'!$3:$3,0),FALSE)</f>
        <v>8</v>
      </c>
      <c r="E64" s="10">
        <f t="shared" si="1"/>
        <v>10</v>
      </c>
      <c r="F64" s="11">
        <f>VLOOKUP($A64,'SAS Data'!$1:$1048576,MATCH(F$1,'SAS Data'!$3:$3,0),FALSE)</f>
        <v>18.696450428396574</v>
      </c>
      <c r="G64" s="12">
        <f>VLOOKUP($A64,'SAS Data'!$1:$1048576,MATCH(G$1,'SAS Data'!$3:$3,0),FALSE)</f>
        <v>7353</v>
      </c>
      <c r="H64" s="12">
        <f>+Housekeeping_sample[[#This Row],[Hkpg Cph]]*Housekeeping_sample[[#This Row],[Hkpg Hrsn]]</f>
        <v>137475</v>
      </c>
      <c r="I64" s="12">
        <f>VLOOKUP(Housekeeping_sample[[#This Row],[Random ID]],'Estimator data 120523'!$A:$H,8,FALSE)</f>
        <v>137475</v>
      </c>
      <c r="J64" s="11">
        <f>+Housekeeping_sample[[#This Row],[Costs Rate Estimator]]/Housekeeping_sample[[#This Row],[Hkpg Hrsn]]</f>
        <v>18.696450428396574</v>
      </c>
      <c r="K64" s="10">
        <f>COUNTIF('HSKG detail'!A:A,A64)</f>
        <v>12</v>
      </c>
      <c r="L64" s="13">
        <v>16</v>
      </c>
      <c r="M64" s="13">
        <v>17</v>
      </c>
      <c r="N64" s="13">
        <v>16.25</v>
      </c>
      <c r="O64" s="13">
        <v>16.333333333333332</v>
      </c>
      <c r="P64" s="10">
        <f>COUNTIFS('HSKG detail'!$A:$A,$A64,'HSKG detail'!$C:$C,"&lt;"&amp;N64)</f>
        <v>6</v>
      </c>
      <c r="Q64" s="10">
        <f>COUNTIFS('HSKG detail'!$A:$A,$A64,'HSKG detail'!$C:$C,"&lt;"&amp;O64)</f>
        <v>6</v>
      </c>
      <c r="R64" s="10">
        <f>COUNTIFS('HSKG detail'!$A:$A,$A64,'HSKG detail'!$C:$C,"&lt;"&amp;$AE$1)</f>
        <v>12</v>
      </c>
      <c r="S64" s="10">
        <f>COUNTIFS('HSKG detail'!$A:$A,$A64,'HSKG detail'!$C:$C,"&lt;"&amp;$AE$2)</f>
        <v>12</v>
      </c>
      <c r="T64" s="10">
        <f>COUNTIFS('HSKG detail'!$A:$A,$A64,'HSKG detail'!$C:$C,"&lt;"&amp;$AE$3)</f>
        <v>12</v>
      </c>
      <c r="U64" s="12">
        <f>+Housekeeping_sample[[#This Row],[Hkpg median]]*Housekeeping_sample[[#This Row],[Hkpg Hrsn]]</f>
        <v>119486.25</v>
      </c>
      <c r="V64" s="12">
        <f>+Housekeeping_sample[[#This Row],[Hkpg average]]*Housekeeping_sample[[#This Row],[Hkpg Hrsn]]</f>
        <v>120098.99999999999</v>
      </c>
      <c r="W64" s="14">
        <f>Housekeeping_sample[[#This Row],[Est median wage cost ]]/Housekeeping_sample[[#This Row],[Costs Rate Estimator]]</f>
        <v>0.86914893617021272</v>
      </c>
      <c r="X64" s="14">
        <f>Housekeeping_sample[[#This Row],[Est average wage cost]]/Housekeeping_sample[[#This Row],[Costs Rate Estimator]]</f>
        <v>0.87360611020185475</v>
      </c>
      <c r="Y64" s="14">
        <f>+Housekeeping_sample[[#This Row],[Hkpg min]]/Housekeeping_sample[[#This Row],[Hkpg median]]</f>
        <v>0.98461538461538467</v>
      </c>
      <c r="Z64" s="14">
        <f>+Housekeeping_sample[[#This Row],[Hkpg max]]/Housekeeping_sample[[#This Row],[Hkpg median]]</f>
        <v>1.0461538461538462</v>
      </c>
      <c r="AA64" s="10">
        <f>VLOOKUP(A64,Summary!$1:$1048576,2,FALSE)</f>
        <v>2</v>
      </c>
    </row>
    <row r="65" spans="1:27" x14ac:dyDescent="0.55000000000000004">
      <c r="A65" s="10">
        <v>263</v>
      </c>
      <c r="B65" s="10" t="s">
        <v>54</v>
      </c>
      <c r="C65" s="10">
        <f>VLOOKUP($A65,'SAS Data'!$1:$1048576,MATCH(C$1,'SAS Data'!$3:$3,0),FALSE)</f>
        <v>2</v>
      </c>
      <c r="D65" s="10">
        <f>VLOOKUP($A65,'SAS Data'!$1:$1048576,MATCH(D$1,'SAS Data'!$3:$3,0),FALSE)</f>
        <v>1</v>
      </c>
      <c r="E65" s="10">
        <f t="shared" si="1"/>
        <v>3</v>
      </c>
      <c r="F65" s="11">
        <f>VLOOKUP($A65,'SAS Data'!$1:$1048576,MATCH(F$1,'SAS Data'!$3:$3,0),FALSE)</f>
        <v>18.707256366073139</v>
      </c>
      <c r="G65" s="12">
        <f>VLOOKUP($A65,'SAS Data'!$1:$1048576,MATCH(G$1,'SAS Data'!$3:$3,0),FALSE)</f>
        <v>5223</v>
      </c>
      <c r="H65" s="12">
        <f>+Housekeeping_sample[[#This Row],[Hkpg Cph]]*Housekeeping_sample[[#This Row],[Hkpg Hrsn]]</f>
        <v>97708</v>
      </c>
      <c r="I65" s="12">
        <f>VLOOKUP(Housekeeping_sample[[#This Row],[Random ID]],'Estimator data 120523'!$A:$H,8,FALSE)</f>
        <v>97708</v>
      </c>
      <c r="J65" s="11">
        <f>+Housekeeping_sample[[#This Row],[Costs Rate Estimator]]/Housekeeping_sample[[#This Row],[Hkpg Hrsn]]</f>
        <v>18.707256366073139</v>
      </c>
      <c r="K65" s="10">
        <f>COUNTIF('HSKG detail'!A:A,A65)</f>
        <v>3</v>
      </c>
      <c r="L65" s="13">
        <v>18.72</v>
      </c>
      <c r="M65" s="13">
        <v>18.72</v>
      </c>
      <c r="N65" s="13">
        <v>18.72</v>
      </c>
      <c r="O65" s="13">
        <v>18.72</v>
      </c>
      <c r="P65" s="10">
        <f>COUNTIFS('HSKG detail'!$A:$A,$A65,'HSKG detail'!$C:$C,"&lt;"&amp;N65)</f>
        <v>0</v>
      </c>
      <c r="Q65" s="10">
        <f>COUNTIFS('HSKG detail'!$A:$A,$A65,'HSKG detail'!$C:$C,"&lt;"&amp;O65)</f>
        <v>0</v>
      </c>
      <c r="R65" s="10">
        <f>COUNTIFS('HSKG detail'!$A:$A,$A65,'HSKG detail'!$C:$C,"&lt;"&amp;$AE$1)</f>
        <v>3</v>
      </c>
      <c r="S65" s="10">
        <f>COUNTIFS('HSKG detail'!$A:$A,$A65,'HSKG detail'!$C:$C,"&lt;"&amp;$AE$2)</f>
        <v>0</v>
      </c>
      <c r="T65" s="10">
        <f>COUNTIFS('HSKG detail'!$A:$A,$A65,'HSKG detail'!$C:$C,"&lt;"&amp;$AE$3)</f>
        <v>0</v>
      </c>
      <c r="U65" s="12">
        <f>+Housekeeping_sample[[#This Row],[Hkpg median]]*Housekeeping_sample[[#This Row],[Hkpg Hrsn]]</f>
        <v>97774.56</v>
      </c>
      <c r="V65" s="12">
        <f>+Housekeeping_sample[[#This Row],[Hkpg average]]*Housekeeping_sample[[#This Row],[Hkpg Hrsn]]</f>
        <v>97774.56</v>
      </c>
      <c r="W65" s="14">
        <f>Housekeeping_sample[[#This Row],[Est median wage cost ]]/Housekeeping_sample[[#This Row],[Costs Rate Estimator]]</f>
        <v>1.0006812134113889</v>
      </c>
      <c r="X65" s="14">
        <f>Housekeeping_sample[[#This Row],[Est average wage cost]]/Housekeeping_sample[[#This Row],[Costs Rate Estimator]]</f>
        <v>1.0006812134113889</v>
      </c>
      <c r="Y65" s="14">
        <f>+Housekeeping_sample[[#This Row],[Hkpg min]]/Housekeeping_sample[[#This Row],[Hkpg median]]</f>
        <v>1</v>
      </c>
      <c r="Z65" s="14">
        <f>+Housekeeping_sample[[#This Row],[Hkpg max]]/Housekeeping_sample[[#This Row],[Hkpg median]]</f>
        <v>1</v>
      </c>
      <c r="AA65" s="10">
        <f>VLOOKUP(A65,Summary!$1:$1048576,2,FALSE)</f>
        <v>3</v>
      </c>
    </row>
    <row r="66" spans="1:27" x14ac:dyDescent="0.55000000000000004">
      <c r="A66" s="10">
        <v>728</v>
      </c>
      <c r="B66" s="10" t="s">
        <v>54</v>
      </c>
      <c r="C66" s="10">
        <f>VLOOKUP($A66,'SAS Data'!$1:$1048576,MATCH(C$1,'SAS Data'!$3:$3,0),FALSE)</f>
        <v>4</v>
      </c>
      <c r="D66" s="10">
        <f>VLOOKUP($A66,'SAS Data'!$1:$1048576,MATCH(D$1,'SAS Data'!$3:$3,0),FALSE)</f>
        <v>1</v>
      </c>
      <c r="E66" s="10">
        <f t="shared" si="1"/>
        <v>5</v>
      </c>
      <c r="F66" s="11">
        <f>VLOOKUP($A66,'SAS Data'!$1:$1048576,MATCH(F$1,'SAS Data'!$3:$3,0),FALSE)</f>
        <v>18.72125608665408</v>
      </c>
      <c r="G66" s="12">
        <f>VLOOKUP($A66,'SAS Data'!$1:$1048576,MATCH(G$1,'SAS Data'!$3:$3,0),FALSE)</f>
        <v>10063</v>
      </c>
      <c r="H66" s="12">
        <f>+Housekeeping_sample[[#This Row],[Hkpg Cph]]*Housekeeping_sample[[#This Row],[Hkpg Hrsn]]</f>
        <v>188392</v>
      </c>
      <c r="I66" s="12">
        <f>VLOOKUP(Housekeeping_sample[[#This Row],[Random ID]],'Estimator data 120523'!$A:$H,8,FALSE)</f>
        <v>189170</v>
      </c>
      <c r="J66" s="11">
        <f>+Housekeeping_sample[[#This Row],[Costs Rate Estimator]]/Housekeeping_sample[[#This Row],[Hkpg Hrsn]]</f>
        <v>18.798569015204212</v>
      </c>
      <c r="K66" s="10">
        <f>COUNTIF('HSKG detail'!A:A,A66)</f>
        <v>2</v>
      </c>
      <c r="L66" s="13">
        <v>14.64</v>
      </c>
      <c r="M66" s="13">
        <v>18.13</v>
      </c>
      <c r="N66" s="13">
        <v>16.39</v>
      </c>
      <c r="O66" s="13">
        <v>16.39</v>
      </c>
      <c r="P66" s="10">
        <f>COUNTIFS('HSKG detail'!$A:$A,$A66,'HSKG detail'!$C:$C,"&lt;"&amp;N66)</f>
        <v>1</v>
      </c>
      <c r="Q66" s="10">
        <f>COUNTIFS('HSKG detail'!$A:$A,$A66,'HSKG detail'!$C:$C,"&lt;"&amp;O66)</f>
        <v>1</v>
      </c>
      <c r="R66" s="10">
        <f>COUNTIFS('HSKG detail'!$A:$A,$A66,'HSKG detail'!$C:$C,"&lt;"&amp;$AE$1)</f>
        <v>2</v>
      </c>
      <c r="S66" s="10">
        <f>COUNTIFS('HSKG detail'!$A:$A,$A66,'HSKG detail'!$C:$C,"&lt;"&amp;$AE$2)</f>
        <v>1</v>
      </c>
      <c r="T66" s="10">
        <f>COUNTIFS('HSKG detail'!$A:$A,$A66,'HSKG detail'!$C:$C,"&lt;"&amp;$AE$3)</f>
        <v>1</v>
      </c>
      <c r="U66" s="12">
        <f>+Housekeeping_sample[[#This Row],[Hkpg median]]*Housekeeping_sample[[#This Row],[Hkpg Hrsn]]</f>
        <v>164932.57</v>
      </c>
      <c r="V66" s="12">
        <f>+Housekeeping_sample[[#This Row],[Hkpg average]]*Housekeeping_sample[[#This Row],[Hkpg Hrsn]]</f>
        <v>164932.57</v>
      </c>
      <c r="W66" s="14">
        <f>Housekeeping_sample[[#This Row],[Est median wage cost ]]/Housekeeping_sample[[#This Row],[Costs Rate Estimator]]</f>
        <v>0.87187487445155154</v>
      </c>
      <c r="X66" s="14">
        <f>Housekeeping_sample[[#This Row],[Est average wage cost]]/Housekeeping_sample[[#This Row],[Costs Rate Estimator]]</f>
        <v>0.87187487445155154</v>
      </c>
      <c r="Y66" s="14">
        <f>+Housekeeping_sample[[#This Row],[Hkpg min]]/Housekeeping_sample[[#This Row],[Hkpg median]]</f>
        <v>0.89322757779133621</v>
      </c>
      <c r="Z66" s="14">
        <f>+Housekeeping_sample[[#This Row],[Hkpg max]]/Housekeeping_sample[[#This Row],[Hkpg median]]</f>
        <v>1.106162294081757</v>
      </c>
      <c r="AA66" s="10">
        <f>VLOOKUP(A66,Summary!$1:$1048576,2,FALSE)</f>
        <v>3</v>
      </c>
    </row>
    <row r="67" spans="1:27" x14ac:dyDescent="0.55000000000000004">
      <c r="A67" s="10">
        <v>277</v>
      </c>
      <c r="B67" s="10" t="s">
        <v>54</v>
      </c>
      <c r="C67" s="10">
        <f>VLOOKUP($A67,'SAS Data'!$1:$1048576,MATCH(C$1,'SAS Data'!$3:$3,0),FALSE)</f>
        <v>0</v>
      </c>
      <c r="D67" s="10">
        <f>VLOOKUP($A67,'SAS Data'!$1:$1048576,MATCH(D$1,'SAS Data'!$3:$3,0),FALSE)</f>
        <v>0</v>
      </c>
      <c r="E67" s="10">
        <f t="shared" ref="E67:E95" si="2">SUM(C67:D67)</f>
        <v>0</v>
      </c>
      <c r="F67" s="11">
        <f>VLOOKUP($A67,'SAS Data'!$1:$1048576,MATCH(F$1,'SAS Data'!$3:$3,0),FALSE)</f>
        <v>0</v>
      </c>
      <c r="G67" s="12">
        <f>VLOOKUP($A67,'SAS Data'!$1:$1048576,MATCH(G$1,'SAS Data'!$3:$3,0),FALSE)</f>
        <v>3737</v>
      </c>
      <c r="H67" s="12">
        <f>+Housekeeping_sample[[#This Row],[Hkpg Cph]]*Housekeeping_sample[[#This Row],[Hkpg Hrsn]]</f>
        <v>0</v>
      </c>
      <c r="I67" s="12">
        <f>VLOOKUP(Housekeeping_sample[[#This Row],[Random ID]],'Estimator data 120523'!$A:$H,8,FALSE)</f>
        <v>70726.649631801643</v>
      </c>
      <c r="J67" s="11">
        <f>+Housekeeping_sample[[#This Row],[Costs Rate Estimator]]/Housekeeping_sample[[#This Row],[Hkpg Hrsn]]</f>
        <v>18.926050209205684</v>
      </c>
      <c r="K67" s="10">
        <f>COUNTIF('HSKG detail'!A:A,A67)</f>
        <v>2</v>
      </c>
      <c r="L67" s="13">
        <v>15.95</v>
      </c>
      <c r="M67" s="13">
        <v>22.0182</v>
      </c>
      <c r="N67" s="13">
        <v>18.984099999999998</v>
      </c>
      <c r="O67" s="13">
        <v>18.984099999999998</v>
      </c>
      <c r="P67" s="10">
        <f>COUNTIFS('HSKG detail'!$A:$A,$A67,'HSKG detail'!$C:$C,"&lt;"&amp;N67)</f>
        <v>1</v>
      </c>
      <c r="Q67" s="10">
        <f>COUNTIFS('HSKG detail'!$A:$A,$A67,'HSKG detail'!$C:$C,"&lt;"&amp;O67)</f>
        <v>1</v>
      </c>
      <c r="R67" s="10">
        <f>COUNTIFS('HSKG detail'!$A:$A,$A67,'HSKG detail'!$C:$C,"&lt;"&amp;$AE$1)</f>
        <v>2</v>
      </c>
      <c r="S67" s="10">
        <f>COUNTIFS('HSKG detail'!$A:$A,$A67,'HSKG detail'!$C:$C,"&lt;"&amp;$AE$2)</f>
        <v>1</v>
      </c>
      <c r="T67" s="10">
        <f>COUNTIFS('HSKG detail'!$A:$A,$A67,'HSKG detail'!$C:$C,"&lt;"&amp;$AE$3)</f>
        <v>1</v>
      </c>
      <c r="U67" s="12">
        <f>+Housekeeping_sample[[#This Row],[Hkpg median]]*Housekeeping_sample[[#This Row],[Hkpg Hrsn]]</f>
        <v>70943.581699999995</v>
      </c>
      <c r="V67" s="12">
        <f>+Housekeeping_sample[[#This Row],[Hkpg average]]*Housekeeping_sample[[#This Row],[Hkpg Hrsn]]</f>
        <v>70943.581699999995</v>
      </c>
      <c r="W67" s="14">
        <f>Housekeeping_sample[[#This Row],[Est median wage cost ]]/Housekeeping_sample[[#This Row],[Costs Rate Estimator]]</f>
        <v>1.003067189939403</v>
      </c>
      <c r="X67" s="14">
        <f>Housekeeping_sample[[#This Row],[Est average wage cost]]/Housekeeping_sample[[#This Row],[Costs Rate Estimator]]</f>
        <v>1.003067189939403</v>
      </c>
      <c r="Y67" s="14">
        <f>+Housekeeping_sample[[#This Row],[Hkpg min]]/Housekeeping_sample[[#This Row],[Hkpg median]]</f>
        <v>0.8401767795154893</v>
      </c>
      <c r="Z67" s="14">
        <f>+Housekeeping_sample[[#This Row],[Hkpg max]]/Housekeeping_sample[[#This Row],[Hkpg median]]</f>
        <v>1.1598232204845109</v>
      </c>
      <c r="AA67" s="10">
        <f>VLOOKUP(A67,Summary!$1:$1048576,2,FALSE)</f>
        <v>1</v>
      </c>
    </row>
    <row r="68" spans="1:27" x14ac:dyDescent="0.55000000000000004">
      <c r="A68" s="10">
        <v>916</v>
      </c>
      <c r="B68" s="10" t="s">
        <v>54</v>
      </c>
      <c r="C68" s="10">
        <f>VLOOKUP($A68,'SAS Data'!$1:$1048576,MATCH(C$1,'SAS Data'!$3:$3,0),FALSE)</f>
        <v>13</v>
      </c>
      <c r="D68" s="10">
        <f>VLOOKUP($A68,'SAS Data'!$1:$1048576,MATCH(D$1,'SAS Data'!$3:$3,0),FALSE)</f>
        <v>2</v>
      </c>
      <c r="E68" s="10">
        <f t="shared" si="2"/>
        <v>15</v>
      </c>
      <c r="F68" s="11">
        <f>VLOOKUP($A68,'SAS Data'!$1:$1048576,MATCH(F$1,'SAS Data'!$3:$3,0),FALSE)</f>
        <v>18.974494283201409</v>
      </c>
      <c r="G68" s="12">
        <f>VLOOKUP($A68,'SAS Data'!$1:$1048576,MATCH(G$1,'SAS Data'!$3:$3,0),FALSE)</f>
        <v>28425</v>
      </c>
      <c r="H68" s="12">
        <f>+Housekeeping_sample[[#This Row],[Hkpg Cph]]*Housekeeping_sample[[#This Row],[Hkpg Hrsn]]</f>
        <v>539350</v>
      </c>
      <c r="I68" s="12">
        <f>VLOOKUP(Housekeeping_sample[[#This Row],[Random ID]],'Estimator data 120523'!$A:$H,8,FALSE)</f>
        <v>539350</v>
      </c>
      <c r="J68" s="11">
        <f>+Housekeeping_sample[[#This Row],[Costs Rate Estimator]]/Housekeeping_sample[[#This Row],[Hkpg Hrsn]]</f>
        <v>18.974494283201409</v>
      </c>
      <c r="K68" s="10">
        <f>COUNTIF('HSKG detail'!A:A,A68)</f>
        <v>20</v>
      </c>
      <c r="L68" s="13">
        <v>14.28</v>
      </c>
      <c r="M68" s="13">
        <v>18.02</v>
      </c>
      <c r="N68" s="13">
        <v>16.5</v>
      </c>
      <c r="O68" s="13">
        <v>16.406999999999996</v>
      </c>
      <c r="P68" s="10">
        <f>COUNTIFS('HSKG detail'!$A:$A,$A68,'HSKG detail'!$C:$C,"&lt;"&amp;N68)</f>
        <v>7</v>
      </c>
      <c r="Q68" s="10">
        <f>COUNTIFS('HSKG detail'!$A:$A,$A68,'HSKG detail'!$C:$C,"&lt;"&amp;O68)</f>
        <v>7</v>
      </c>
      <c r="R68" s="10">
        <f>COUNTIFS('HSKG detail'!$A:$A,$A68,'HSKG detail'!$C:$C,"&lt;"&amp;$AE$1)</f>
        <v>20</v>
      </c>
      <c r="S68" s="10">
        <f>COUNTIFS('HSKG detail'!$A:$A,$A68,'HSKG detail'!$C:$C,"&lt;"&amp;$AE$2)</f>
        <v>19</v>
      </c>
      <c r="T68" s="10">
        <f>COUNTIFS('HSKG detail'!$A:$A,$A68,'HSKG detail'!$C:$C,"&lt;"&amp;$AE$3)</f>
        <v>19</v>
      </c>
      <c r="U68" s="12">
        <f>+Housekeeping_sample[[#This Row],[Hkpg median]]*Housekeeping_sample[[#This Row],[Hkpg Hrsn]]</f>
        <v>469012.5</v>
      </c>
      <c r="V68" s="12">
        <f>+Housekeeping_sample[[#This Row],[Hkpg average]]*Housekeeping_sample[[#This Row],[Hkpg Hrsn]]</f>
        <v>466368.97499999992</v>
      </c>
      <c r="W68" s="14">
        <f>Housekeeping_sample[[#This Row],[Est median wage cost ]]/Housekeeping_sample[[#This Row],[Costs Rate Estimator]]</f>
        <v>0.86958839343654404</v>
      </c>
      <c r="X68" s="14">
        <f>Housekeeping_sample[[#This Row],[Est average wage cost]]/Housekeeping_sample[[#This Row],[Costs Rate Estimator]]</f>
        <v>0.86468707703717418</v>
      </c>
      <c r="Y68" s="14">
        <f>+Housekeeping_sample[[#This Row],[Hkpg min]]/Housekeeping_sample[[#This Row],[Hkpg median]]</f>
        <v>0.86545454545454537</v>
      </c>
      <c r="Z68" s="14">
        <f>+Housekeeping_sample[[#This Row],[Hkpg max]]/Housekeeping_sample[[#This Row],[Hkpg median]]</f>
        <v>1.092121212121212</v>
      </c>
      <c r="AA68" s="10">
        <f>VLOOKUP(A68,Summary!$1:$1048576,2,FALSE)</f>
        <v>3</v>
      </c>
    </row>
    <row r="69" spans="1:27" x14ac:dyDescent="0.55000000000000004">
      <c r="A69" s="10">
        <v>766</v>
      </c>
      <c r="B69" s="10" t="s">
        <v>54</v>
      </c>
      <c r="C69" s="10">
        <f>VLOOKUP($A69,'SAS Data'!$1:$1048576,MATCH(C$1,'SAS Data'!$3:$3,0),FALSE)</f>
        <v>5</v>
      </c>
      <c r="D69" s="10">
        <f>VLOOKUP($A69,'SAS Data'!$1:$1048576,MATCH(D$1,'SAS Data'!$3:$3,0),FALSE)</f>
        <v>1</v>
      </c>
      <c r="E69" s="10">
        <f t="shared" si="2"/>
        <v>6</v>
      </c>
      <c r="F69" s="11">
        <f>VLOOKUP($A69,'SAS Data'!$1:$1048576,MATCH(F$1,'SAS Data'!$3:$3,0),FALSE)</f>
        <v>0</v>
      </c>
      <c r="G69" s="12">
        <f>VLOOKUP($A69,'SAS Data'!$1:$1048576,MATCH(G$1,'SAS Data'!$3:$3,0),FALSE)</f>
        <v>7087</v>
      </c>
      <c r="H69" s="12">
        <f>+Housekeeping_sample[[#This Row],[Hkpg Cph]]*Housekeeping_sample[[#This Row],[Hkpg Hrsn]]</f>
        <v>0</v>
      </c>
      <c r="I69" s="12">
        <f>VLOOKUP(Housekeeping_sample[[#This Row],[Random ID]],'Estimator data 120523'!$A:$H,8,FALSE)</f>
        <v>135847.09572217561</v>
      </c>
      <c r="J69" s="11">
        <f>+Housekeeping_sample[[#This Row],[Costs Rate Estimator]]/Housekeeping_sample[[#This Row],[Hkpg Hrsn]]</f>
        <v>19.168491000730295</v>
      </c>
      <c r="K69" s="10">
        <f>COUNTIF('HSKG detail'!A:A,A69)</f>
        <v>4</v>
      </c>
      <c r="L69" s="13">
        <v>16.420000000000002</v>
      </c>
      <c r="M69" s="13">
        <v>21.44</v>
      </c>
      <c r="N69" s="13">
        <v>18.489999999999998</v>
      </c>
      <c r="O69" s="13">
        <v>18.71</v>
      </c>
      <c r="P69" s="10">
        <f>COUNTIFS('HSKG detail'!$A:$A,$A69,'HSKG detail'!$C:$C,"&lt;"&amp;N69)</f>
        <v>2</v>
      </c>
      <c r="Q69" s="10">
        <f>COUNTIFS('HSKG detail'!$A:$A,$A69,'HSKG detail'!$C:$C,"&lt;"&amp;O69)</f>
        <v>2</v>
      </c>
      <c r="R69" s="10">
        <f>COUNTIFS('HSKG detail'!$A:$A,$A69,'HSKG detail'!$C:$C,"&lt;"&amp;$AE$1)</f>
        <v>4</v>
      </c>
      <c r="S69" s="10">
        <f>COUNTIFS('HSKG detail'!$A:$A,$A69,'HSKG detail'!$C:$C,"&lt;"&amp;$AE$2)</f>
        <v>1</v>
      </c>
      <c r="T69" s="10">
        <f>COUNTIFS('HSKG detail'!$A:$A,$A69,'HSKG detail'!$C:$C,"&lt;"&amp;$AE$3)</f>
        <v>2</v>
      </c>
      <c r="U69" s="12">
        <f>+Housekeeping_sample[[#This Row],[Hkpg median]]*Housekeeping_sample[[#This Row],[Hkpg Hrsn]]</f>
        <v>131038.62999999999</v>
      </c>
      <c r="V69" s="12">
        <f>+Housekeeping_sample[[#This Row],[Hkpg average]]*Housekeeping_sample[[#This Row],[Hkpg Hrsn]]</f>
        <v>132597.77000000002</v>
      </c>
      <c r="W69" s="14">
        <f>Housekeeping_sample[[#This Row],[Est median wage cost ]]/Housekeeping_sample[[#This Row],[Costs Rate Estimator]]</f>
        <v>0.96460383862744081</v>
      </c>
      <c r="X69" s="14">
        <f>Housekeeping_sample[[#This Row],[Est average wage cost]]/Housekeeping_sample[[#This Row],[Costs Rate Estimator]]</f>
        <v>0.97608100706973622</v>
      </c>
      <c r="Y69" s="14">
        <f>+Housekeeping_sample[[#This Row],[Hkpg min]]/Housekeeping_sample[[#This Row],[Hkpg median]]</f>
        <v>0.88804759329367244</v>
      </c>
      <c r="Z69" s="14">
        <f>+Housekeeping_sample[[#This Row],[Hkpg max]]/Housekeeping_sample[[#This Row],[Hkpg median]]</f>
        <v>1.1595457003785832</v>
      </c>
      <c r="AA69" s="10">
        <f>VLOOKUP(A69,Summary!$1:$1048576,2,FALSE)</f>
        <v>2</v>
      </c>
    </row>
    <row r="70" spans="1:27" x14ac:dyDescent="0.55000000000000004">
      <c r="A70" s="10">
        <v>173</v>
      </c>
      <c r="B70" s="10" t="s">
        <v>54</v>
      </c>
      <c r="C70" s="10">
        <f>VLOOKUP($A70,'SAS Data'!$1:$1048576,MATCH(C$1,'SAS Data'!$3:$3,0),FALSE)</f>
        <v>5</v>
      </c>
      <c r="D70" s="10">
        <f>VLOOKUP($A70,'SAS Data'!$1:$1048576,MATCH(D$1,'SAS Data'!$3:$3,0),FALSE)</f>
        <v>2</v>
      </c>
      <c r="E70" s="10">
        <f t="shared" si="2"/>
        <v>7</v>
      </c>
      <c r="F70" s="11">
        <f>VLOOKUP($A70,'SAS Data'!$1:$1048576,MATCH(F$1,'SAS Data'!$3:$3,0),FALSE)</f>
        <v>19.169533412415973</v>
      </c>
      <c r="G70" s="12">
        <f>VLOOKUP($A70,'SAS Data'!$1:$1048576,MATCH(G$1,'SAS Data'!$3:$3,0),FALSE)</f>
        <v>10116</v>
      </c>
      <c r="H70" s="12">
        <f>+Housekeeping_sample[[#This Row],[Hkpg Cph]]*Housekeeping_sample[[#This Row],[Hkpg Hrsn]]</f>
        <v>193918.99999999997</v>
      </c>
      <c r="I70" s="12">
        <f>VLOOKUP(Housekeeping_sample[[#This Row],[Random ID]],'Estimator data 120523'!$A:$H,8,FALSE)</f>
        <v>193919</v>
      </c>
      <c r="J70" s="11">
        <f>+Housekeeping_sample[[#This Row],[Costs Rate Estimator]]/Housekeeping_sample[[#This Row],[Hkpg Hrsn]]</f>
        <v>19.169533412415976</v>
      </c>
      <c r="K70" s="10">
        <f>COUNTIF('HSKG detail'!A:A,A70)</f>
        <v>6</v>
      </c>
      <c r="L70" s="13">
        <v>16.899999999999999</v>
      </c>
      <c r="M70" s="13">
        <v>20</v>
      </c>
      <c r="N70" s="13">
        <v>17.100000000000001</v>
      </c>
      <c r="O70" s="13">
        <v>17.683333333333334</v>
      </c>
      <c r="P70" s="10">
        <f>COUNTIFS('HSKG detail'!$A:$A,$A70,'HSKG detail'!$C:$C,"&lt;"&amp;N70)</f>
        <v>3</v>
      </c>
      <c r="Q70" s="10">
        <f>COUNTIFS('HSKG detail'!$A:$A,$A70,'HSKG detail'!$C:$C,"&lt;"&amp;O70)</f>
        <v>4</v>
      </c>
      <c r="R70" s="10">
        <f>COUNTIFS('HSKG detail'!$A:$A,$A70,'HSKG detail'!$C:$C,"&lt;"&amp;$AE$1)</f>
        <v>6</v>
      </c>
      <c r="S70" s="10">
        <f>COUNTIFS('HSKG detail'!$A:$A,$A70,'HSKG detail'!$C:$C,"&lt;"&amp;$AE$2)</f>
        <v>3</v>
      </c>
      <c r="T70" s="10">
        <f>COUNTIFS('HSKG detail'!$A:$A,$A70,'HSKG detail'!$C:$C,"&lt;"&amp;$AE$3)</f>
        <v>3</v>
      </c>
      <c r="U70" s="12">
        <f>+Housekeeping_sample[[#This Row],[Hkpg median]]*Housekeeping_sample[[#This Row],[Hkpg Hrsn]]</f>
        <v>172983.6</v>
      </c>
      <c r="V70" s="12">
        <f>+Housekeeping_sample[[#This Row],[Hkpg average]]*Housekeeping_sample[[#This Row],[Hkpg Hrsn]]</f>
        <v>178884.6</v>
      </c>
      <c r="W70" s="14">
        <f>Housekeeping_sample[[#This Row],[Est median wage cost ]]/Housekeeping_sample[[#This Row],[Costs Rate Estimator]]</f>
        <v>0.89204049113289574</v>
      </c>
      <c r="X70" s="14">
        <f>Housekeeping_sample[[#This Row],[Est average wage cost]]/Housekeeping_sample[[#This Row],[Costs Rate Estimator]]</f>
        <v>0.92247072231189309</v>
      </c>
      <c r="Y70" s="14">
        <f>+Housekeeping_sample[[#This Row],[Hkpg min]]/Housekeeping_sample[[#This Row],[Hkpg median]]</f>
        <v>0.98830409356725135</v>
      </c>
      <c r="Z70" s="14">
        <f>+Housekeeping_sample[[#This Row],[Hkpg max]]/Housekeeping_sample[[#This Row],[Hkpg median]]</f>
        <v>1.1695906432748537</v>
      </c>
      <c r="AA70" s="10">
        <f>VLOOKUP(A70,Summary!$1:$1048576,2,FALSE)</f>
        <v>1</v>
      </c>
    </row>
    <row r="71" spans="1:27" x14ac:dyDescent="0.55000000000000004">
      <c r="A71" s="10">
        <v>605</v>
      </c>
      <c r="B71" s="10" t="s">
        <v>54</v>
      </c>
      <c r="C71" s="10">
        <f>VLOOKUP($A71,'SAS Data'!$1:$1048576,MATCH(C$1,'SAS Data'!$3:$3,0),FALSE)</f>
        <v>11</v>
      </c>
      <c r="D71" s="10">
        <f>VLOOKUP($A71,'SAS Data'!$1:$1048576,MATCH(D$1,'SAS Data'!$3:$3,0),FALSE)</f>
        <v>5</v>
      </c>
      <c r="E71" s="10">
        <f t="shared" si="2"/>
        <v>16</v>
      </c>
      <c r="F71" s="11">
        <f>VLOOKUP($A71,'SAS Data'!$1:$1048576,MATCH(F$1,'SAS Data'!$3:$3,0),FALSE)</f>
        <v>19.367143950158486</v>
      </c>
      <c r="G71" s="12">
        <f>VLOOKUP($A71,'SAS Data'!$1:$1048576,MATCH(G$1,'SAS Data'!$3:$3,0),FALSE)</f>
        <v>27447</v>
      </c>
      <c r="H71" s="12">
        <f>+Housekeeping_sample[[#This Row],[Hkpg Cph]]*Housekeeping_sample[[#This Row],[Hkpg Hrsn]]</f>
        <v>531570</v>
      </c>
      <c r="I71" s="12">
        <f>VLOOKUP(Housekeeping_sample[[#This Row],[Random ID]],'Estimator data 120523'!$A:$H,8,FALSE)</f>
        <v>529608</v>
      </c>
      <c r="J71" s="11">
        <f>+Housekeeping_sample[[#This Row],[Costs Rate Estimator]]/Housekeeping_sample[[#This Row],[Hkpg Hrsn]]</f>
        <v>19.295660727948409</v>
      </c>
      <c r="K71" s="10">
        <f>COUNTIF('HSKG detail'!A:A,A71)</f>
        <v>11</v>
      </c>
      <c r="L71" s="13">
        <v>16.25</v>
      </c>
      <c r="M71" s="13">
        <v>18.54</v>
      </c>
      <c r="N71" s="13">
        <v>16.91</v>
      </c>
      <c r="O71" s="13">
        <v>17.200909090909089</v>
      </c>
      <c r="P71" s="10">
        <f>COUNTIFS('HSKG detail'!$A:$A,$A71,'HSKG detail'!$C:$C,"&lt;"&amp;N71)</f>
        <v>5</v>
      </c>
      <c r="Q71" s="10">
        <f>COUNTIFS('HSKG detail'!$A:$A,$A71,'HSKG detail'!$C:$C,"&lt;"&amp;O71)</f>
        <v>7</v>
      </c>
      <c r="R71" s="10">
        <f>COUNTIFS('HSKG detail'!$A:$A,$A71,'HSKG detail'!$C:$C,"&lt;"&amp;$AE$1)</f>
        <v>11</v>
      </c>
      <c r="S71" s="10">
        <f>COUNTIFS('HSKG detail'!$A:$A,$A71,'HSKG detail'!$C:$C,"&lt;"&amp;$AE$2)</f>
        <v>6</v>
      </c>
      <c r="T71" s="10">
        <f>COUNTIFS('HSKG detail'!$A:$A,$A71,'HSKG detail'!$C:$C,"&lt;"&amp;$AE$3)</f>
        <v>7</v>
      </c>
      <c r="U71" s="12">
        <f>+Housekeeping_sample[[#This Row],[Hkpg median]]*Housekeeping_sample[[#This Row],[Hkpg Hrsn]]</f>
        <v>464128.77</v>
      </c>
      <c r="V71" s="12">
        <f>+Housekeeping_sample[[#This Row],[Hkpg average]]*Housekeeping_sample[[#This Row],[Hkpg Hrsn]]</f>
        <v>472113.35181818175</v>
      </c>
      <c r="W71" s="14">
        <f>Housekeeping_sample[[#This Row],[Est median wage cost ]]/Housekeeping_sample[[#This Row],[Costs Rate Estimator]]</f>
        <v>0.87636283817464999</v>
      </c>
      <c r="X71" s="14">
        <f>Housekeeping_sample[[#This Row],[Est average wage cost]]/Housekeeping_sample[[#This Row],[Costs Rate Estimator]]</f>
        <v>0.89143923773466738</v>
      </c>
      <c r="Y71" s="14">
        <f>+Housekeeping_sample[[#This Row],[Hkpg min]]/Housekeeping_sample[[#This Row],[Hkpg median]]</f>
        <v>0.96096984033116495</v>
      </c>
      <c r="Z71" s="14">
        <f>+Housekeeping_sample[[#This Row],[Hkpg max]]/Housekeeping_sample[[#This Row],[Hkpg median]]</f>
        <v>1.0963926670609105</v>
      </c>
      <c r="AA71" s="10">
        <f>VLOOKUP(A71,Summary!$1:$1048576,2,FALSE)</f>
        <v>3</v>
      </c>
    </row>
    <row r="72" spans="1:27" x14ac:dyDescent="0.55000000000000004">
      <c r="A72" s="10">
        <v>178</v>
      </c>
      <c r="B72" s="10" t="s">
        <v>54</v>
      </c>
      <c r="C72" s="10">
        <f>VLOOKUP($A72,'SAS Data'!$1:$1048576,MATCH(C$1,'SAS Data'!$3:$3,0),FALSE)</f>
        <v>6</v>
      </c>
      <c r="D72" s="10">
        <f>VLOOKUP($A72,'SAS Data'!$1:$1048576,MATCH(D$1,'SAS Data'!$3:$3,0),FALSE)</f>
        <v>0</v>
      </c>
      <c r="E72" s="10">
        <f t="shared" si="2"/>
        <v>6</v>
      </c>
      <c r="F72" s="11">
        <f>VLOOKUP($A72,'SAS Data'!$1:$1048576,MATCH(F$1,'SAS Data'!$3:$3,0),FALSE)</f>
        <v>20.137594376464463</v>
      </c>
      <c r="G72" s="12">
        <f>VLOOKUP($A72,'SAS Data'!$1:$1048576,MATCH(G$1,'SAS Data'!$3:$3,0),FALSE)</f>
        <v>7682</v>
      </c>
      <c r="H72" s="12">
        <f>+Housekeeping_sample[[#This Row],[Hkpg Cph]]*Housekeeping_sample[[#This Row],[Hkpg Hrsn]]</f>
        <v>154697</v>
      </c>
      <c r="I72" s="12">
        <f>VLOOKUP(Housekeeping_sample[[#This Row],[Random ID]],'Estimator data 120523'!$A:$H,8,FALSE)</f>
        <v>148739</v>
      </c>
      <c r="J72" s="11">
        <f>+Housekeeping_sample[[#This Row],[Costs Rate Estimator]]/Housekeeping_sample[[#This Row],[Hkpg Hrsn]]</f>
        <v>19.362015100234313</v>
      </c>
      <c r="K72" s="10">
        <f>COUNTIF('HSKG detail'!A:A,A72)</f>
        <v>4</v>
      </c>
      <c r="L72" s="13">
        <v>16.2</v>
      </c>
      <c r="M72" s="13">
        <v>18.100000000000001</v>
      </c>
      <c r="N72" s="13">
        <v>17.29</v>
      </c>
      <c r="O72" s="13">
        <v>17.22</v>
      </c>
      <c r="P72" s="10">
        <f>COUNTIFS('HSKG detail'!$A:$A,$A72,'HSKG detail'!$C:$C,"&lt;"&amp;N72)</f>
        <v>1</v>
      </c>
      <c r="Q72" s="10">
        <f>COUNTIFS('HSKG detail'!$A:$A,$A72,'HSKG detail'!$C:$C,"&lt;"&amp;O72)</f>
        <v>1</v>
      </c>
      <c r="R72" s="10">
        <f>COUNTIFS('HSKG detail'!$A:$A,$A72,'HSKG detail'!$C:$C,"&lt;"&amp;$AE$1)</f>
        <v>4</v>
      </c>
      <c r="S72" s="10">
        <f>COUNTIFS('HSKG detail'!$A:$A,$A72,'HSKG detail'!$C:$C,"&lt;"&amp;$AE$2)</f>
        <v>1</v>
      </c>
      <c r="T72" s="10">
        <f>COUNTIFS('HSKG detail'!$A:$A,$A72,'HSKG detail'!$C:$C,"&lt;"&amp;$AE$3)</f>
        <v>1</v>
      </c>
      <c r="U72" s="12">
        <f>+Housekeeping_sample[[#This Row],[Hkpg median]]*Housekeeping_sample[[#This Row],[Hkpg Hrsn]]</f>
        <v>132821.78</v>
      </c>
      <c r="V72" s="12">
        <f>+Housekeeping_sample[[#This Row],[Hkpg average]]*Housekeeping_sample[[#This Row],[Hkpg Hrsn]]</f>
        <v>132284.03999999998</v>
      </c>
      <c r="W72" s="14">
        <f>Housekeeping_sample[[#This Row],[Est median wage cost ]]/Housekeeping_sample[[#This Row],[Costs Rate Estimator]]</f>
        <v>0.89298556531911599</v>
      </c>
      <c r="X72" s="14">
        <f>Housekeeping_sample[[#This Row],[Est average wage cost]]/Housekeeping_sample[[#This Row],[Costs Rate Estimator]]</f>
        <v>0.88937023914373481</v>
      </c>
      <c r="Y72" s="14">
        <f>+Housekeeping_sample[[#This Row],[Hkpg min]]/Housekeeping_sample[[#This Row],[Hkpg median]]</f>
        <v>0.93695777906304223</v>
      </c>
      <c r="Z72" s="14">
        <f>+Housekeeping_sample[[#This Row],[Hkpg max]]/Housekeeping_sample[[#This Row],[Hkpg median]]</f>
        <v>1.0468478889531523</v>
      </c>
      <c r="AA72" s="10">
        <f>VLOOKUP(A72,Summary!$1:$1048576,2,FALSE)</f>
        <v>3</v>
      </c>
    </row>
    <row r="73" spans="1:27" x14ac:dyDescent="0.55000000000000004">
      <c r="A73" s="10">
        <v>542</v>
      </c>
      <c r="B73" s="10" t="s">
        <v>54</v>
      </c>
      <c r="C73" s="10">
        <f>VLOOKUP($A73,'SAS Data'!$1:$1048576,MATCH(C$1,'SAS Data'!$3:$3,0),FALSE)</f>
        <v>3</v>
      </c>
      <c r="D73" s="10">
        <f>VLOOKUP($A73,'SAS Data'!$1:$1048576,MATCH(D$1,'SAS Data'!$3:$3,0),FALSE)</f>
        <v>6</v>
      </c>
      <c r="E73" s="10">
        <f t="shared" si="2"/>
        <v>9</v>
      </c>
      <c r="F73" s="11">
        <f>VLOOKUP($A73,'SAS Data'!$1:$1048576,MATCH(F$1,'SAS Data'!$3:$3,0),FALSE)</f>
        <v>19.4406898626291</v>
      </c>
      <c r="G73" s="12">
        <f>VLOOKUP($A73,'SAS Data'!$1:$1048576,MATCH(G$1,'SAS Data'!$3:$3,0),FALSE)</f>
        <v>9973</v>
      </c>
      <c r="H73" s="12">
        <f>+Housekeeping_sample[[#This Row],[Hkpg Cph]]*Housekeeping_sample[[#This Row],[Hkpg Hrsn]]</f>
        <v>193882</v>
      </c>
      <c r="I73" s="12">
        <f>VLOOKUP(Housekeeping_sample[[#This Row],[Random ID]],'Estimator data 120523'!$A:$H,8,FALSE)</f>
        <v>193882</v>
      </c>
      <c r="J73" s="11">
        <f>+Housekeeping_sample[[#This Row],[Costs Rate Estimator]]/Housekeeping_sample[[#This Row],[Hkpg Hrsn]]</f>
        <v>19.4406898626291</v>
      </c>
      <c r="K73" s="10">
        <f>COUNTIF('HSKG detail'!A:A,A73)</f>
        <v>7</v>
      </c>
      <c r="L73" s="13">
        <v>16.309999999999999</v>
      </c>
      <c r="M73" s="13">
        <v>21.88</v>
      </c>
      <c r="N73" s="13">
        <v>18.57</v>
      </c>
      <c r="O73" s="13">
        <v>19.092857142857138</v>
      </c>
      <c r="P73" s="10">
        <f>COUNTIFS('HSKG detail'!$A:$A,$A73,'HSKG detail'!$C:$C,"&lt;"&amp;N73)</f>
        <v>3</v>
      </c>
      <c r="Q73" s="10">
        <f>COUNTIFS('HSKG detail'!$A:$A,$A73,'HSKG detail'!$C:$C,"&lt;"&amp;O73)</f>
        <v>4</v>
      </c>
      <c r="R73" s="10">
        <f>COUNTIFS('HSKG detail'!$A:$A,$A73,'HSKG detail'!$C:$C,"&lt;"&amp;$AE$1)</f>
        <v>7</v>
      </c>
      <c r="S73" s="10">
        <f>COUNTIFS('HSKG detail'!$A:$A,$A73,'HSKG detail'!$C:$C,"&lt;"&amp;$AE$2)</f>
        <v>1</v>
      </c>
      <c r="T73" s="10">
        <f>COUNTIFS('HSKG detail'!$A:$A,$A73,'HSKG detail'!$C:$C,"&lt;"&amp;$AE$3)</f>
        <v>2</v>
      </c>
      <c r="U73" s="12">
        <f>+Housekeeping_sample[[#This Row],[Hkpg median]]*Housekeeping_sample[[#This Row],[Hkpg Hrsn]]</f>
        <v>185198.61000000002</v>
      </c>
      <c r="V73" s="12">
        <f>+Housekeeping_sample[[#This Row],[Hkpg average]]*Housekeeping_sample[[#This Row],[Hkpg Hrsn]]</f>
        <v>190413.06428571424</v>
      </c>
      <c r="W73" s="14">
        <f>Housekeeping_sample[[#This Row],[Est median wage cost ]]/Housekeeping_sample[[#This Row],[Costs Rate Estimator]]</f>
        <v>0.9552130161644713</v>
      </c>
      <c r="X73" s="14">
        <f>Housekeeping_sample[[#This Row],[Est average wage cost]]/Housekeeping_sample[[#This Row],[Costs Rate Estimator]]</f>
        <v>0.98210800531103581</v>
      </c>
      <c r="Y73" s="14">
        <f>+Housekeeping_sample[[#This Row],[Hkpg min]]/Housekeeping_sample[[#This Row],[Hkpg median]]</f>
        <v>0.87829833064081841</v>
      </c>
      <c r="Z73" s="14">
        <f>+Housekeeping_sample[[#This Row],[Hkpg max]]/Housekeeping_sample[[#This Row],[Hkpg median]]</f>
        <v>1.1782444803446419</v>
      </c>
      <c r="AA73" s="10">
        <f>VLOOKUP(A73,Summary!$1:$1048576,2,FALSE)</f>
        <v>3</v>
      </c>
    </row>
    <row r="74" spans="1:27" x14ac:dyDescent="0.55000000000000004">
      <c r="A74" s="10">
        <v>318</v>
      </c>
      <c r="B74" s="10" t="s">
        <v>54</v>
      </c>
      <c r="C74" s="10">
        <f>VLOOKUP($A74,'SAS Data'!$1:$1048576,MATCH(C$1,'SAS Data'!$3:$3,0),FALSE)</f>
        <v>4</v>
      </c>
      <c r="D74" s="10">
        <f>VLOOKUP($A74,'SAS Data'!$1:$1048576,MATCH(D$1,'SAS Data'!$3:$3,0),FALSE)</f>
        <v>3</v>
      </c>
      <c r="E74" s="10">
        <f t="shared" si="2"/>
        <v>7</v>
      </c>
      <c r="F74" s="11">
        <f>VLOOKUP($A74,'SAS Data'!$1:$1048576,MATCH(F$1,'SAS Data'!$3:$3,0),FALSE)</f>
        <v>20.364209505334628</v>
      </c>
      <c r="G74" s="12">
        <f>VLOOKUP($A74,'SAS Data'!$1:$1048576,MATCH(G$1,'SAS Data'!$3:$3,0),FALSE)</f>
        <v>4124</v>
      </c>
      <c r="H74" s="12">
        <f>+Housekeeping_sample[[#This Row],[Hkpg Cph]]*Housekeeping_sample[[#This Row],[Hkpg Hrsn]]</f>
        <v>83982</v>
      </c>
      <c r="I74" s="12">
        <f>VLOOKUP(Housekeeping_sample[[#This Row],[Random ID]],'Estimator data 120523'!$A:$H,8,FALSE)</f>
        <v>80388</v>
      </c>
      <c r="J74" s="11">
        <f>+Housekeeping_sample[[#This Row],[Costs Rate Estimator]]/Housekeeping_sample[[#This Row],[Hkpg Hrsn]]</f>
        <v>19.492725509214356</v>
      </c>
      <c r="K74" s="10">
        <f>COUNTIF('HSKG detail'!A:A,A74)</f>
        <v>3</v>
      </c>
      <c r="L74" s="13">
        <v>15.47</v>
      </c>
      <c r="M74" s="13">
        <v>17.72</v>
      </c>
      <c r="N74" s="13">
        <v>17.47</v>
      </c>
      <c r="O74" s="13">
        <v>16.886666666666667</v>
      </c>
      <c r="P74" s="10">
        <f>COUNTIFS('HSKG detail'!$A:$A,$A74,'HSKG detail'!$C:$C,"&lt;"&amp;N74)</f>
        <v>1</v>
      </c>
      <c r="Q74" s="10">
        <f>COUNTIFS('HSKG detail'!$A:$A,$A74,'HSKG detail'!$C:$C,"&lt;"&amp;O74)</f>
        <v>1</v>
      </c>
      <c r="R74" s="10">
        <f>COUNTIFS('HSKG detail'!$A:$A,$A74,'HSKG detail'!$C:$C,"&lt;"&amp;$AE$1)</f>
        <v>3</v>
      </c>
      <c r="S74" s="10">
        <f>COUNTIFS('HSKG detail'!$A:$A,$A74,'HSKG detail'!$C:$C,"&lt;"&amp;$AE$2)</f>
        <v>1</v>
      </c>
      <c r="T74" s="10">
        <f>COUNTIFS('HSKG detail'!$A:$A,$A74,'HSKG detail'!$C:$C,"&lt;"&amp;$AE$3)</f>
        <v>1</v>
      </c>
      <c r="U74" s="12">
        <f>+Housekeeping_sample[[#This Row],[Hkpg median]]*Housekeeping_sample[[#This Row],[Hkpg Hrsn]]</f>
        <v>72046.28</v>
      </c>
      <c r="V74" s="12">
        <f>+Housekeeping_sample[[#This Row],[Hkpg average]]*Housekeeping_sample[[#This Row],[Hkpg Hrsn]]</f>
        <v>69640.613333333327</v>
      </c>
      <c r="W74" s="14">
        <f>Housekeeping_sample[[#This Row],[Est median wage cost ]]/Housekeeping_sample[[#This Row],[Costs Rate Estimator]]</f>
        <v>0.89623177588694825</v>
      </c>
      <c r="X74" s="14">
        <f>Housekeeping_sample[[#This Row],[Est average wage cost]]/Housekeeping_sample[[#This Row],[Costs Rate Estimator]]</f>
        <v>0.86630608216815108</v>
      </c>
      <c r="Y74" s="14">
        <f>+Housekeeping_sample[[#This Row],[Hkpg min]]/Housekeeping_sample[[#This Row],[Hkpg median]]</f>
        <v>0.8855180309101317</v>
      </c>
      <c r="Z74" s="14">
        <f>+Housekeeping_sample[[#This Row],[Hkpg max]]/Housekeeping_sample[[#This Row],[Hkpg median]]</f>
        <v>1.0143102461362334</v>
      </c>
      <c r="AA74" s="10">
        <f>VLOOKUP(A74,Summary!$1:$1048576,2,FALSE)</f>
        <v>2</v>
      </c>
    </row>
    <row r="75" spans="1:27" x14ac:dyDescent="0.55000000000000004">
      <c r="A75" s="10">
        <v>636</v>
      </c>
      <c r="B75" s="10" t="s">
        <v>54</v>
      </c>
      <c r="C75" s="10">
        <f>VLOOKUP($A75,'SAS Data'!$1:$1048576,MATCH(C$1,'SAS Data'!$3:$3,0),FALSE)</f>
        <v>0</v>
      </c>
      <c r="D75" s="10">
        <f>VLOOKUP($A75,'SAS Data'!$1:$1048576,MATCH(D$1,'SAS Data'!$3:$3,0),FALSE)</f>
        <v>0</v>
      </c>
      <c r="E75" s="10">
        <f t="shared" si="2"/>
        <v>0</v>
      </c>
      <c r="F75" s="11">
        <f>VLOOKUP($A75,'SAS Data'!$1:$1048576,MATCH(F$1,'SAS Data'!$3:$3,0),FALSE)</f>
        <v>18.467203682393556</v>
      </c>
      <c r="G75" s="12">
        <f>VLOOKUP($A75,'SAS Data'!$1:$1048576,MATCH(G$1,'SAS Data'!$3:$3,0),FALSE)</f>
        <v>1738</v>
      </c>
      <c r="H75" s="12">
        <f>+Housekeeping_sample[[#This Row],[Hkpg Cph]]*Housekeeping_sample[[#This Row],[Hkpg Hrsn]]</f>
        <v>32096</v>
      </c>
      <c r="I75" s="12">
        <f>VLOOKUP(Housekeeping_sample[[#This Row],[Random ID]],'Estimator data 120523'!$A:$H,8,FALSE)</f>
        <v>34102</v>
      </c>
      <c r="J75" s="11">
        <f>+Housekeeping_sample[[#This Row],[Costs Rate Estimator]]/Housekeeping_sample[[#This Row],[Hkpg Hrsn]]</f>
        <v>19.621403912543155</v>
      </c>
      <c r="K75" s="10">
        <f>COUNTIF('HSKG detail'!A:A,A75)</f>
        <v>2</v>
      </c>
      <c r="L75" s="13">
        <v>18.07</v>
      </c>
      <c r="M75" s="13">
        <v>19.760000000000002</v>
      </c>
      <c r="N75" s="13">
        <v>18.914999999999999</v>
      </c>
      <c r="O75" s="13">
        <v>18.914999999999999</v>
      </c>
      <c r="P75" s="10">
        <f>COUNTIFS('HSKG detail'!$A:$A,$A75,'HSKG detail'!$C:$C,"&lt;"&amp;N75)</f>
        <v>1</v>
      </c>
      <c r="Q75" s="10">
        <f>COUNTIFS('HSKG detail'!$A:$A,$A75,'HSKG detail'!$C:$C,"&lt;"&amp;O75)</f>
        <v>1</v>
      </c>
      <c r="R75" s="10">
        <f>COUNTIFS('HSKG detail'!$A:$A,$A75,'HSKG detail'!$C:$C,"&lt;"&amp;$AE$1)</f>
        <v>2</v>
      </c>
      <c r="S75" s="10">
        <f>COUNTIFS('HSKG detail'!$A:$A,$A75,'HSKG detail'!$C:$C,"&lt;"&amp;$AE$2)</f>
        <v>0</v>
      </c>
      <c r="T75" s="10">
        <f>COUNTIFS('HSKG detail'!$A:$A,$A75,'HSKG detail'!$C:$C,"&lt;"&amp;$AE$3)</f>
        <v>0</v>
      </c>
      <c r="U75" s="12">
        <f>+Housekeeping_sample[[#This Row],[Hkpg median]]*Housekeeping_sample[[#This Row],[Hkpg Hrsn]]</f>
        <v>32874.269999999997</v>
      </c>
      <c r="V75" s="12">
        <f>+Housekeeping_sample[[#This Row],[Hkpg average]]*Housekeeping_sample[[#This Row],[Hkpg Hrsn]]</f>
        <v>32874.269999999997</v>
      </c>
      <c r="W75" s="14">
        <f>Housekeeping_sample[[#This Row],[Est median wage cost ]]/Housekeeping_sample[[#This Row],[Costs Rate Estimator]]</f>
        <v>0.96399829921998703</v>
      </c>
      <c r="X75" s="14">
        <f>Housekeeping_sample[[#This Row],[Est average wage cost]]/Housekeeping_sample[[#This Row],[Costs Rate Estimator]]</f>
        <v>0.96399829921998703</v>
      </c>
      <c r="Y75" s="14">
        <f>+Housekeeping_sample[[#This Row],[Hkpg min]]/Housekeeping_sample[[#This Row],[Hkpg median]]</f>
        <v>0.9553264604810997</v>
      </c>
      <c r="Z75" s="14">
        <f>+Housekeeping_sample[[#This Row],[Hkpg max]]/Housekeeping_sample[[#This Row],[Hkpg median]]</f>
        <v>1.0446735395189004</v>
      </c>
      <c r="AA75" s="10">
        <f>VLOOKUP(A75,Summary!$1:$1048576,2,FALSE)</f>
        <v>2</v>
      </c>
    </row>
    <row r="76" spans="1:27" x14ac:dyDescent="0.55000000000000004">
      <c r="A76" s="10">
        <v>273</v>
      </c>
      <c r="B76" s="10" t="s">
        <v>54</v>
      </c>
      <c r="C76" s="10">
        <f>VLOOKUP($A76,'SAS Data'!$1:$1048576,MATCH(C$1,'SAS Data'!$3:$3,0),FALSE)</f>
        <v>4</v>
      </c>
      <c r="D76" s="10">
        <f>VLOOKUP($A76,'SAS Data'!$1:$1048576,MATCH(D$1,'SAS Data'!$3:$3,0),FALSE)</f>
        <v>6</v>
      </c>
      <c r="E76" s="10">
        <f t="shared" si="2"/>
        <v>10</v>
      </c>
      <c r="F76" s="11">
        <f>VLOOKUP($A76,'SAS Data'!$1:$1048576,MATCH(F$1,'SAS Data'!$3:$3,0),FALSE)</f>
        <v>19.720795696742108</v>
      </c>
      <c r="G76" s="12">
        <f>VLOOKUP($A76,'SAS Data'!$1:$1048576,MATCH(G$1,'SAS Data'!$3:$3,0),FALSE)</f>
        <v>9853</v>
      </c>
      <c r="H76" s="12">
        <f>+Housekeeping_sample[[#This Row],[Hkpg Cph]]*Housekeeping_sample[[#This Row],[Hkpg Hrsn]]</f>
        <v>194309</v>
      </c>
      <c r="I76" s="12">
        <f>VLOOKUP(Housekeeping_sample[[#This Row],[Random ID]],'Estimator data 120523'!$A:$H,8,FALSE)</f>
        <v>194309</v>
      </c>
      <c r="J76" s="11">
        <f>+Housekeeping_sample[[#This Row],[Costs Rate Estimator]]/Housekeeping_sample[[#This Row],[Hkpg Hrsn]]</f>
        <v>19.720795696742108</v>
      </c>
      <c r="K76" s="10">
        <f>COUNTIF('HSKG detail'!A:A,A76)</f>
        <v>9</v>
      </c>
      <c r="L76" s="13">
        <v>14.15</v>
      </c>
      <c r="M76" s="13">
        <v>17.2</v>
      </c>
      <c r="N76" s="13">
        <v>15.25</v>
      </c>
      <c r="O76" s="13">
        <v>15.622222222222222</v>
      </c>
      <c r="P76" s="10">
        <f>COUNTIFS('HSKG detail'!$A:$A,$A76,'HSKG detail'!$C:$C,"&lt;"&amp;N76)</f>
        <v>2</v>
      </c>
      <c r="Q76" s="10">
        <f>COUNTIFS('HSKG detail'!$A:$A,$A76,'HSKG detail'!$C:$C,"&lt;"&amp;O76)</f>
        <v>6</v>
      </c>
      <c r="R76" s="10">
        <f>COUNTIFS('HSKG detail'!$A:$A,$A76,'HSKG detail'!$C:$C,"&lt;"&amp;$AE$1)</f>
        <v>9</v>
      </c>
      <c r="S76" s="10">
        <f>COUNTIFS('HSKG detail'!$A:$A,$A76,'HSKG detail'!$C:$C,"&lt;"&amp;$AE$2)</f>
        <v>8</v>
      </c>
      <c r="T76" s="10">
        <f>COUNTIFS('HSKG detail'!$A:$A,$A76,'HSKG detail'!$C:$C,"&lt;"&amp;$AE$3)</f>
        <v>9</v>
      </c>
      <c r="U76" s="12">
        <f>+Housekeeping_sample[[#This Row],[Hkpg median]]*Housekeeping_sample[[#This Row],[Hkpg Hrsn]]</f>
        <v>150258.25</v>
      </c>
      <c r="V76" s="12">
        <f>+Housekeeping_sample[[#This Row],[Hkpg average]]*Housekeeping_sample[[#This Row],[Hkpg Hrsn]]</f>
        <v>153925.75555555554</v>
      </c>
      <c r="W76" s="14">
        <f>Housekeeping_sample[[#This Row],[Est median wage cost ]]/Housekeeping_sample[[#This Row],[Costs Rate Estimator]]</f>
        <v>0.773295369746126</v>
      </c>
      <c r="X76" s="14">
        <f>Housekeeping_sample[[#This Row],[Est average wage cost]]/Housekeeping_sample[[#This Row],[Costs Rate Estimator]]</f>
        <v>0.79216997439931014</v>
      </c>
      <c r="Y76" s="14">
        <f>+Housekeeping_sample[[#This Row],[Hkpg min]]/Housekeeping_sample[[#This Row],[Hkpg median]]</f>
        <v>0.9278688524590164</v>
      </c>
      <c r="Z76" s="14">
        <f>+Housekeeping_sample[[#This Row],[Hkpg max]]/Housekeeping_sample[[#This Row],[Hkpg median]]</f>
        <v>1.1278688524590164</v>
      </c>
      <c r="AA76" s="10">
        <f>VLOOKUP(A76,Summary!$1:$1048576,2,FALSE)</f>
        <v>3</v>
      </c>
    </row>
    <row r="77" spans="1:27" x14ac:dyDescent="0.55000000000000004">
      <c r="A77" s="10">
        <v>315</v>
      </c>
      <c r="B77" s="10" t="s">
        <v>54</v>
      </c>
      <c r="C77" s="10">
        <f>VLOOKUP($A77,'SAS Data'!$1:$1048576,MATCH(C$1,'SAS Data'!$3:$3,0),FALSE)</f>
        <v>0</v>
      </c>
      <c r="D77" s="10">
        <f>VLOOKUP($A77,'SAS Data'!$1:$1048576,MATCH(D$1,'SAS Data'!$3:$3,0),FALSE)</f>
        <v>0</v>
      </c>
      <c r="E77" s="10">
        <f t="shared" si="2"/>
        <v>0</v>
      </c>
      <c r="F77" s="11">
        <f>VLOOKUP($A77,'SAS Data'!$1:$1048576,MATCH(F$1,'SAS Data'!$3:$3,0),FALSE)</f>
        <v>19.522581245926066</v>
      </c>
      <c r="G77" s="12">
        <f>VLOOKUP($A77,'SAS Data'!$1:$1048576,MATCH(G$1,'SAS Data'!$3:$3,0),FALSE)</f>
        <v>10739</v>
      </c>
      <c r="H77" s="12">
        <f>+Housekeeping_sample[[#This Row],[Hkpg Cph]]*Housekeeping_sample[[#This Row],[Hkpg Hrsn]]</f>
        <v>209653.00000000003</v>
      </c>
      <c r="I77" s="12">
        <f>VLOOKUP(Housekeeping_sample[[#This Row],[Random ID]],'Estimator data 120523'!$A:$H,8,FALSE)</f>
        <v>212937</v>
      </c>
      <c r="J77" s="11">
        <f>+Housekeeping_sample[[#This Row],[Costs Rate Estimator]]/Housekeeping_sample[[#This Row],[Hkpg Hrsn]]</f>
        <v>19.828382530961914</v>
      </c>
      <c r="K77" s="10">
        <f>COUNTIF('HSKG detail'!A:A,A77)</f>
        <v>26</v>
      </c>
      <c r="L77" s="13">
        <v>15.25</v>
      </c>
      <c r="M77" s="13">
        <v>23.76</v>
      </c>
      <c r="N77" s="13">
        <v>16.66</v>
      </c>
      <c r="O77" s="13">
        <v>17.403461538461535</v>
      </c>
      <c r="P77" s="10">
        <f>COUNTIFS('HSKG detail'!$A:$A,$A77,'HSKG detail'!$C:$C,"&lt;"&amp;N77)</f>
        <v>12</v>
      </c>
      <c r="Q77" s="10">
        <f>COUNTIFS('HSKG detail'!$A:$A,$A77,'HSKG detail'!$C:$C,"&lt;"&amp;O77)</f>
        <v>16</v>
      </c>
      <c r="R77" s="10">
        <f>COUNTIFS('HSKG detail'!$A:$A,$A77,'HSKG detail'!$C:$C,"&lt;"&amp;$AE$1)</f>
        <v>26</v>
      </c>
      <c r="S77" s="10">
        <f>COUNTIFS('HSKG detail'!$A:$A,$A77,'HSKG detail'!$C:$C,"&lt;"&amp;$AE$2)</f>
        <v>16</v>
      </c>
      <c r="T77" s="10">
        <f>COUNTIFS('HSKG detail'!$A:$A,$A77,'HSKG detail'!$C:$C,"&lt;"&amp;$AE$3)</f>
        <v>16</v>
      </c>
      <c r="U77" s="12">
        <f>+Housekeeping_sample[[#This Row],[Hkpg median]]*Housekeeping_sample[[#This Row],[Hkpg Hrsn]]</f>
        <v>178911.74</v>
      </c>
      <c r="V77" s="12">
        <f>+Housekeeping_sample[[#This Row],[Hkpg average]]*Housekeeping_sample[[#This Row],[Hkpg Hrsn]]</f>
        <v>186895.77346153843</v>
      </c>
      <c r="W77" s="14">
        <f>Housekeeping_sample[[#This Row],[Est median wage cost ]]/Housekeeping_sample[[#This Row],[Costs Rate Estimator]]</f>
        <v>0.84020973339532345</v>
      </c>
      <c r="X77" s="14">
        <f>Housekeeping_sample[[#This Row],[Est average wage cost]]/Housekeeping_sample[[#This Row],[Costs Rate Estimator]]</f>
        <v>0.87770454858262503</v>
      </c>
      <c r="Y77" s="14">
        <f>+Housekeeping_sample[[#This Row],[Hkpg min]]/Housekeeping_sample[[#This Row],[Hkpg median]]</f>
        <v>0.91536614645858339</v>
      </c>
      <c r="Z77" s="14">
        <f>+Housekeeping_sample[[#This Row],[Hkpg max]]/Housekeeping_sample[[#This Row],[Hkpg median]]</f>
        <v>1.4261704681872749</v>
      </c>
      <c r="AA77" s="10">
        <f>VLOOKUP(A77,Summary!$1:$1048576,2,FALSE)</f>
        <v>2</v>
      </c>
    </row>
    <row r="78" spans="1:27" x14ac:dyDescent="0.55000000000000004">
      <c r="A78" s="10">
        <v>712</v>
      </c>
      <c r="B78" s="10" t="s">
        <v>54</v>
      </c>
      <c r="C78" s="10">
        <f>VLOOKUP($A78,'SAS Data'!$1:$1048576,MATCH(C$1,'SAS Data'!$3:$3,0),FALSE)</f>
        <v>5</v>
      </c>
      <c r="D78" s="10">
        <f>VLOOKUP($A78,'SAS Data'!$1:$1048576,MATCH(D$1,'SAS Data'!$3:$3,0),FALSE)</f>
        <v>2</v>
      </c>
      <c r="E78" s="10">
        <f t="shared" si="2"/>
        <v>7</v>
      </c>
      <c r="F78" s="11">
        <f>VLOOKUP($A78,'SAS Data'!$1:$1048576,MATCH(F$1,'SAS Data'!$3:$3,0),FALSE)</f>
        <v>19.850544036132209</v>
      </c>
      <c r="G78" s="12">
        <f>VLOOKUP($A78,'SAS Data'!$1:$1048576,MATCH(G$1,'SAS Data'!$3:$3,0),FALSE)</f>
        <v>9742</v>
      </c>
      <c r="H78" s="12">
        <f>+Housekeeping_sample[[#This Row],[Hkpg Cph]]*Housekeeping_sample[[#This Row],[Hkpg Hrsn]]</f>
        <v>193383.99999999997</v>
      </c>
      <c r="I78" s="12">
        <f>VLOOKUP(Housekeeping_sample[[#This Row],[Random ID]],'Estimator data 120523'!$A:$H,8,FALSE)</f>
        <v>193384</v>
      </c>
      <c r="J78" s="11">
        <f>+Housekeeping_sample[[#This Row],[Costs Rate Estimator]]/Housekeeping_sample[[#This Row],[Hkpg Hrsn]]</f>
        <v>19.850544036132209</v>
      </c>
      <c r="K78" s="10">
        <f>COUNTIF('HSKG detail'!A:A,A78)</f>
        <v>6</v>
      </c>
      <c r="L78" s="13">
        <v>21.36</v>
      </c>
      <c r="M78" s="13">
        <v>21.79</v>
      </c>
      <c r="N78" s="13">
        <v>21.36</v>
      </c>
      <c r="O78" s="13">
        <v>21.50333333333333</v>
      </c>
      <c r="P78" s="10">
        <f>COUNTIFS('HSKG detail'!$A:$A,$A78,'HSKG detail'!$C:$C,"&lt;"&amp;N78)</f>
        <v>0</v>
      </c>
      <c r="Q78" s="10">
        <f>COUNTIFS('HSKG detail'!$A:$A,$A78,'HSKG detail'!$C:$C,"&lt;"&amp;O78)</f>
        <v>4</v>
      </c>
      <c r="R78" s="10">
        <f>COUNTIFS('HSKG detail'!$A:$A,$A78,'HSKG detail'!$C:$C,"&lt;"&amp;$AE$1)</f>
        <v>6</v>
      </c>
      <c r="S78" s="10">
        <f>COUNTIFS('HSKG detail'!$A:$A,$A78,'HSKG detail'!$C:$C,"&lt;"&amp;$AE$2)</f>
        <v>0</v>
      </c>
      <c r="T78" s="10">
        <f>COUNTIFS('HSKG detail'!$A:$A,$A78,'HSKG detail'!$C:$C,"&lt;"&amp;$AE$3)</f>
        <v>0</v>
      </c>
      <c r="U78" s="12">
        <f>+Housekeeping_sample[[#This Row],[Hkpg median]]*Housekeeping_sample[[#This Row],[Hkpg Hrsn]]</f>
        <v>208089.12</v>
      </c>
      <c r="V78" s="12">
        <f>+Housekeeping_sample[[#This Row],[Hkpg average]]*Housekeeping_sample[[#This Row],[Hkpg Hrsn]]</f>
        <v>209485.4733333333</v>
      </c>
      <c r="W78" s="14">
        <f>Housekeeping_sample[[#This Row],[Est median wage cost ]]/Housekeeping_sample[[#This Row],[Costs Rate Estimator]]</f>
        <v>1.0760410375212013</v>
      </c>
      <c r="X78" s="14">
        <f>Housekeeping_sample[[#This Row],[Est average wage cost]]/Housekeeping_sample[[#This Row],[Costs Rate Estimator]]</f>
        <v>1.0832616624608722</v>
      </c>
      <c r="Y78" s="14">
        <f>+Housekeeping_sample[[#This Row],[Hkpg min]]/Housekeeping_sample[[#This Row],[Hkpg median]]</f>
        <v>1</v>
      </c>
      <c r="Z78" s="14">
        <f>+Housekeeping_sample[[#This Row],[Hkpg max]]/Housekeeping_sample[[#This Row],[Hkpg median]]</f>
        <v>1.0201310861423221</v>
      </c>
      <c r="AA78" s="10">
        <f>VLOOKUP(A78,Summary!$1:$1048576,2,FALSE)</f>
        <v>3</v>
      </c>
    </row>
    <row r="79" spans="1:27" x14ac:dyDescent="0.55000000000000004">
      <c r="A79" s="10">
        <v>718</v>
      </c>
      <c r="B79" s="10" t="s">
        <v>54</v>
      </c>
      <c r="C79" s="10">
        <f>VLOOKUP($A79,'SAS Data'!$1:$1048576,MATCH(C$1,'SAS Data'!$3:$3,0),FALSE)</f>
        <v>0</v>
      </c>
      <c r="D79" s="10">
        <f>VLOOKUP($A79,'SAS Data'!$1:$1048576,MATCH(D$1,'SAS Data'!$3:$3,0),FALSE)</f>
        <v>0</v>
      </c>
      <c r="E79" s="10">
        <f t="shared" si="2"/>
        <v>0</v>
      </c>
      <c r="F79" s="11">
        <f>VLOOKUP($A79,'SAS Data'!$1:$1048576,MATCH(F$1,'SAS Data'!$3:$3,0),FALSE)</f>
        <v>19.605174206968279</v>
      </c>
      <c r="G79" s="12">
        <f>VLOOKUP($A79,'SAS Data'!$1:$1048576,MATCH(G$1,'SAS Data'!$3:$3,0),FALSE)</f>
        <v>7692</v>
      </c>
      <c r="H79" s="12">
        <f>+Housekeeping_sample[[#This Row],[Hkpg Cph]]*Housekeeping_sample[[#This Row],[Hkpg Hrsn]]</f>
        <v>150803</v>
      </c>
      <c r="I79" s="12">
        <f>VLOOKUP(Housekeeping_sample[[#This Row],[Random ID]],'Estimator data 120523'!$A:$H,8,FALSE)</f>
        <v>154477</v>
      </c>
      <c r="J79" s="11">
        <f>+Housekeeping_sample[[#This Row],[Costs Rate Estimator]]/Housekeeping_sample[[#This Row],[Hkpg Hrsn]]</f>
        <v>20.082813312532501</v>
      </c>
      <c r="K79" s="10">
        <f>COUNTIF('HSKG detail'!A:A,A79)</f>
        <v>9</v>
      </c>
      <c r="L79" s="13">
        <v>18.09</v>
      </c>
      <c r="M79" s="13">
        <v>20.41</v>
      </c>
      <c r="N79" s="13">
        <v>18.920000000000002</v>
      </c>
      <c r="O79" s="13">
        <v>19.049999999999997</v>
      </c>
      <c r="P79" s="10">
        <f>COUNTIFS('HSKG detail'!$A:$A,$A79,'HSKG detail'!$C:$C,"&lt;"&amp;N79)</f>
        <v>3</v>
      </c>
      <c r="Q79" s="10">
        <f>COUNTIFS('HSKG detail'!$A:$A,$A79,'HSKG detail'!$C:$C,"&lt;"&amp;O79)</f>
        <v>6</v>
      </c>
      <c r="R79" s="10">
        <f>COUNTIFS('HSKG detail'!$A:$A,$A79,'HSKG detail'!$C:$C,"&lt;"&amp;$AE$1)</f>
        <v>9</v>
      </c>
      <c r="S79" s="10">
        <f>COUNTIFS('HSKG detail'!$A:$A,$A79,'HSKG detail'!$C:$C,"&lt;"&amp;$AE$2)</f>
        <v>0</v>
      </c>
      <c r="T79" s="10">
        <f>COUNTIFS('HSKG detail'!$A:$A,$A79,'HSKG detail'!$C:$C,"&lt;"&amp;$AE$3)</f>
        <v>0</v>
      </c>
      <c r="U79" s="12">
        <f>+Housekeeping_sample[[#This Row],[Hkpg median]]*Housekeeping_sample[[#This Row],[Hkpg Hrsn]]</f>
        <v>145532.64000000001</v>
      </c>
      <c r="V79" s="12">
        <f>+Housekeeping_sample[[#This Row],[Hkpg average]]*Housekeeping_sample[[#This Row],[Hkpg Hrsn]]</f>
        <v>146532.59999999998</v>
      </c>
      <c r="W79" s="14">
        <f>Housekeeping_sample[[#This Row],[Est median wage cost ]]/Housekeeping_sample[[#This Row],[Costs Rate Estimator]]</f>
        <v>0.94209908271134224</v>
      </c>
      <c r="X79" s="14">
        <f>Housekeeping_sample[[#This Row],[Est average wage cost]]/Housekeeping_sample[[#This Row],[Costs Rate Estimator]]</f>
        <v>0.94857227936844957</v>
      </c>
      <c r="Y79" s="14">
        <f>+Housekeeping_sample[[#This Row],[Hkpg min]]/Housekeeping_sample[[#This Row],[Hkpg median]]</f>
        <v>0.95613107822410137</v>
      </c>
      <c r="Z79" s="14">
        <f>+Housekeeping_sample[[#This Row],[Hkpg max]]/Housekeeping_sample[[#This Row],[Hkpg median]]</f>
        <v>1.0787526427061309</v>
      </c>
      <c r="AA79" s="10">
        <f>VLOOKUP(A79,Summary!$1:$1048576,2,FALSE)</f>
        <v>2</v>
      </c>
    </row>
    <row r="80" spans="1:27" x14ac:dyDescent="0.55000000000000004">
      <c r="A80" s="10">
        <v>752</v>
      </c>
      <c r="B80" s="10" t="s">
        <v>54</v>
      </c>
      <c r="C80" s="10">
        <f>VLOOKUP($A80,'SAS Data'!$1:$1048576,MATCH(C$1,'SAS Data'!$3:$3,0),FALSE)</f>
        <v>8</v>
      </c>
      <c r="D80" s="10">
        <f>VLOOKUP($A80,'SAS Data'!$1:$1048576,MATCH(D$1,'SAS Data'!$3:$3,0),FALSE)</f>
        <v>6</v>
      </c>
      <c r="E80" s="10">
        <f t="shared" si="2"/>
        <v>14</v>
      </c>
      <c r="F80" s="11">
        <f>VLOOKUP($A80,'SAS Data'!$1:$1048576,MATCH(F$1,'SAS Data'!$3:$3,0),FALSE)</f>
        <v>20.399156780076478</v>
      </c>
      <c r="G80" s="12">
        <f>VLOOKUP($A80,'SAS Data'!$1:$1048576,MATCH(G$1,'SAS Data'!$3:$3,0),FALSE)</f>
        <v>20398</v>
      </c>
      <c r="H80" s="12">
        <f>+Housekeeping_sample[[#This Row],[Hkpg Cph]]*Housekeeping_sample[[#This Row],[Hkpg Hrsn]]</f>
        <v>416102</v>
      </c>
      <c r="I80" s="12">
        <f>VLOOKUP(Housekeeping_sample[[#This Row],[Random ID]],'Estimator data 120523'!$A:$H,8,FALSE)</f>
        <v>412556</v>
      </c>
      <c r="J80" s="11">
        <f>+Housekeeping_sample[[#This Row],[Costs Rate Estimator]]/Housekeeping_sample[[#This Row],[Hkpg Hrsn]]</f>
        <v>20.22531620747132</v>
      </c>
      <c r="K80" s="10">
        <f>COUNTIF('HSKG detail'!A:A,A80)</f>
        <v>2</v>
      </c>
      <c r="L80" s="13">
        <v>16.23</v>
      </c>
      <c r="M80" s="13">
        <v>21.17</v>
      </c>
      <c r="N80" s="13">
        <v>18.700000000000003</v>
      </c>
      <c r="O80" s="13">
        <v>18.700000000000003</v>
      </c>
      <c r="P80" s="10">
        <f>COUNTIFS('HSKG detail'!$A:$A,$A80,'HSKG detail'!$C:$C,"&lt;"&amp;N80)</f>
        <v>1</v>
      </c>
      <c r="Q80" s="10">
        <f>COUNTIFS('HSKG detail'!$A:$A,$A80,'HSKG detail'!$C:$C,"&lt;"&amp;O80)</f>
        <v>1</v>
      </c>
      <c r="R80" s="10">
        <f>COUNTIFS('HSKG detail'!$A:$A,$A80,'HSKG detail'!$C:$C,"&lt;"&amp;$AE$1)</f>
        <v>2</v>
      </c>
      <c r="S80" s="10">
        <f>COUNTIFS('HSKG detail'!$A:$A,$A80,'HSKG detail'!$C:$C,"&lt;"&amp;$AE$2)</f>
        <v>1</v>
      </c>
      <c r="T80" s="10">
        <f>COUNTIFS('HSKG detail'!$A:$A,$A80,'HSKG detail'!$C:$C,"&lt;"&amp;$AE$3)</f>
        <v>1</v>
      </c>
      <c r="U80" s="12">
        <f>+Housekeeping_sample[[#This Row],[Hkpg median]]*Housekeeping_sample[[#This Row],[Hkpg Hrsn]]</f>
        <v>381442.60000000003</v>
      </c>
      <c r="V80" s="12">
        <f>+Housekeeping_sample[[#This Row],[Hkpg average]]*Housekeeping_sample[[#This Row],[Hkpg Hrsn]]</f>
        <v>381442.60000000003</v>
      </c>
      <c r="W80" s="14">
        <f>Housekeeping_sample[[#This Row],[Est median wage cost ]]/Housekeeping_sample[[#This Row],[Costs Rate Estimator]]</f>
        <v>0.92458381407614976</v>
      </c>
      <c r="X80" s="14">
        <f>Housekeeping_sample[[#This Row],[Est average wage cost]]/Housekeeping_sample[[#This Row],[Costs Rate Estimator]]</f>
        <v>0.92458381407614976</v>
      </c>
      <c r="Y80" s="14">
        <f>+Housekeeping_sample[[#This Row],[Hkpg min]]/Housekeeping_sample[[#This Row],[Hkpg median]]</f>
        <v>0.86791443850267369</v>
      </c>
      <c r="Z80" s="14">
        <f>+Housekeeping_sample[[#This Row],[Hkpg max]]/Housekeeping_sample[[#This Row],[Hkpg median]]</f>
        <v>1.1320855614973262</v>
      </c>
      <c r="AA80" s="10">
        <f>VLOOKUP(A80,Summary!$1:$1048576,2,FALSE)</f>
        <v>3</v>
      </c>
    </row>
    <row r="81" spans="1:27" x14ac:dyDescent="0.55000000000000004">
      <c r="A81" s="10">
        <v>590</v>
      </c>
      <c r="B81" s="10" t="s">
        <v>54</v>
      </c>
      <c r="C81" s="10">
        <f>VLOOKUP($A81,'SAS Data'!$1:$1048576,MATCH(C$1,'SAS Data'!$3:$3,0),FALSE)</f>
        <v>0</v>
      </c>
      <c r="D81" s="10">
        <f>VLOOKUP($A81,'SAS Data'!$1:$1048576,MATCH(D$1,'SAS Data'!$3:$3,0),FALSE)</f>
        <v>0</v>
      </c>
      <c r="E81" s="10">
        <f t="shared" si="2"/>
        <v>0</v>
      </c>
      <c r="F81" s="11">
        <f>VLOOKUP($A81,'SAS Data'!$1:$1048576,MATCH(F$1,'SAS Data'!$3:$3,0),FALSE)</f>
        <v>19.540818988002087</v>
      </c>
      <c r="G81" s="12">
        <f>VLOOKUP($A81,'SAS Data'!$1:$1048576,MATCH(G$1,'SAS Data'!$3:$3,0),FALSE)</f>
        <v>7668</v>
      </c>
      <c r="H81" s="12">
        <f>+Housekeeping_sample[[#This Row],[Hkpg Cph]]*Housekeeping_sample[[#This Row],[Hkpg Hrsn]]</f>
        <v>149839</v>
      </c>
      <c r="I81" s="12">
        <f>VLOOKUP(Housekeeping_sample[[#This Row],[Random ID]],'Estimator data 120523'!$A:$H,8,FALSE)</f>
        <v>156483</v>
      </c>
      <c r="J81" s="11">
        <f>+Housekeeping_sample[[#This Row],[Costs Rate Estimator]]/Housekeeping_sample[[#This Row],[Hkpg Hrsn]]</f>
        <v>20.407276995305164</v>
      </c>
      <c r="K81" s="10">
        <f>COUNTIF('HSKG detail'!A:A,A81)</f>
        <v>6</v>
      </c>
      <c r="L81" s="13">
        <v>17.93</v>
      </c>
      <c r="M81" s="13">
        <v>21</v>
      </c>
      <c r="N81" s="13">
        <v>18.8</v>
      </c>
      <c r="O81" s="13">
        <v>19.051666666666666</v>
      </c>
      <c r="P81" s="10">
        <f>COUNTIFS('HSKG detail'!$A:$A,$A81,'HSKG detail'!$C:$C,"&lt;"&amp;N81)</f>
        <v>3</v>
      </c>
      <c r="Q81" s="10">
        <f>COUNTIFS('HSKG detail'!$A:$A,$A81,'HSKG detail'!$C:$C,"&lt;"&amp;O81)</f>
        <v>3</v>
      </c>
      <c r="R81" s="10">
        <f>COUNTIFS('HSKG detail'!$A:$A,$A81,'HSKG detail'!$C:$C,"&lt;"&amp;$AE$1)</f>
        <v>6</v>
      </c>
      <c r="S81" s="10">
        <f>COUNTIFS('HSKG detail'!$A:$A,$A81,'HSKG detail'!$C:$C,"&lt;"&amp;$AE$2)</f>
        <v>0</v>
      </c>
      <c r="T81" s="10">
        <f>COUNTIFS('HSKG detail'!$A:$A,$A81,'HSKG detail'!$C:$C,"&lt;"&amp;$AE$3)</f>
        <v>0</v>
      </c>
      <c r="U81" s="12">
        <f>+Housekeeping_sample[[#This Row],[Hkpg median]]*Housekeeping_sample[[#This Row],[Hkpg Hrsn]]</f>
        <v>144158.39999999999</v>
      </c>
      <c r="V81" s="12">
        <f>+Housekeeping_sample[[#This Row],[Hkpg average]]*Housekeeping_sample[[#This Row],[Hkpg Hrsn]]</f>
        <v>146088.18</v>
      </c>
      <c r="W81" s="14">
        <f>Housekeeping_sample[[#This Row],[Est median wage cost ]]/Housekeeping_sample[[#This Row],[Costs Rate Estimator]]</f>
        <v>0.92124000690170815</v>
      </c>
      <c r="X81" s="14">
        <f>Housekeeping_sample[[#This Row],[Est average wage cost]]/Housekeeping_sample[[#This Row],[Costs Rate Estimator]]</f>
        <v>0.93357220912175765</v>
      </c>
      <c r="Y81" s="14">
        <f>+Housekeeping_sample[[#This Row],[Hkpg min]]/Housekeeping_sample[[#This Row],[Hkpg median]]</f>
        <v>0.9537234042553191</v>
      </c>
      <c r="Z81" s="14">
        <f>+Housekeeping_sample[[#This Row],[Hkpg max]]/Housekeeping_sample[[#This Row],[Hkpg median]]</f>
        <v>1.1170212765957446</v>
      </c>
      <c r="AA81" s="10">
        <f>VLOOKUP(A81,Summary!$1:$1048576,2,FALSE)</f>
        <v>1</v>
      </c>
    </row>
    <row r="82" spans="1:27" x14ac:dyDescent="0.55000000000000004">
      <c r="A82" s="10">
        <v>345</v>
      </c>
      <c r="B82" s="10" t="s">
        <v>54</v>
      </c>
      <c r="C82" s="10">
        <f>VLOOKUP($A82,'SAS Data'!$1:$1048576,MATCH(C$1,'SAS Data'!$3:$3,0),FALSE)</f>
        <v>4</v>
      </c>
      <c r="D82" s="10">
        <f>VLOOKUP($A82,'SAS Data'!$1:$1048576,MATCH(D$1,'SAS Data'!$3:$3,0),FALSE)</f>
        <v>1</v>
      </c>
      <c r="E82" s="10">
        <f t="shared" si="2"/>
        <v>5</v>
      </c>
      <c r="F82" s="11">
        <f>VLOOKUP($A82,'SAS Data'!$1:$1048576,MATCH(F$1,'SAS Data'!$3:$3,0),FALSE)</f>
        <v>20.660446619761395</v>
      </c>
      <c r="G82" s="12">
        <f>VLOOKUP($A82,'SAS Data'!$1:$1048576,MATCH(G$1,'SAS Data'!$3:$3,0),FALSE)</f>
        <v>6538</v>
      </c>
      <c r="H82" s="12">
        <f>+Housekeeping_sample[[#This Row],[Hkpg Cph]]*Housekeeping_sample[[#This Row],[Hkpg Hrsn]]</f>
        <v>135078</v>
      </c>
      <c r="I82" s="12">
        <f>VLOOKUP(Housekeeping_sample[[#This Row],[Random ID]],'Estimator data 120523'!$A:$H,8,FALSE)</f>
        <v>135078</v>
      </c>
      <c r="J82" s="11">
        <f>+Housekeeping_sample[[#This Row],[Costs Rate Estimator]]/Housekeeping_sample[[#This Row],[Hkpg Hrsn]]</f>
        <v>20.660446619761395</v>
      </c>
      <c r="K82" s="10">
        <f>COUNTIF('HSKG detail'!A:A,A82)</f>
        <v>5</v>
      </c>
      <c r="L82" s="13">
        <v>15</v>
      </c>
      <c r="M82" s="13">
        <v>20</v>
      </c>
      <c r="N82" s="13">
        <v>17</v>
      </c>
      <c r="O82" s="13">
        <v>17</v>
      </c>
      <c r="P82" s="10">
        <f>COUNTIFS('HSKG detail'!$A:$A,$A82,'HSKG detail'!$C:$C,"&lt;"&amp;N82)</f>
        <v>2</v>
      </c>
      <c r="Q82" s="10">
        <f>COUNTIFS('HSKG detail'!$A:$A,$A82,'HSKG detail'!$C:$C,"&lt;"&amp;O82)</f>
        <v>2</v>
      </c>
      <c r="R82" s="10">
        <f>COUNTIFS('HSKG detail'!$A:$A,$A82,'HSKG detail'!$C:$C,"&lt;"&amp;$AE$1)</f>
        <v>5</v>
      </c>
      <c r="S82" s="10">
        <f>COUNTIFS('HSKG detail'!$A:$A,$A82,'HSKG detail'!$C:$C,"&lt;"&amp;$AE$2)</f>
        <v>4</v>
      </c>
      <c r="T82" s="10">
        <f>COUNTIFS('HSKG detail'!$A:$A,$A82,'HSKG detail'!$C:$C,"&lt;"&amp;$AE$3)</f>
        <v>4</v>
      </c>
      <c r="U82" s="12">
        <f>+Housekeeping_sample[[#This Row],[Hkpg median]]*Housekeeping_sample[[#This Row],[Hkpg Hrsn]]</f>
        <v>111146</v>
      </c>
      <c r="V82" s="12">
        <f>+Housekeeping_sample[[#This Row],[Hkpg average]]*Housekeeping_sample[[#This Row],[Hkpg Hrsn]]</f>
        <v>111146</v>
      </c>
      <c r="W82" s="14">
        <f>Housekeeping_sample[[#This Row],[Est median wage cost ]]/Housekeeping_sample[[#This Row],[Costs Rate Estimator]]</f>
        <v>0.82282829180177375</v>
      </c>
      <c r="X82" s="14">
        <f>Housekeeping_sample[[#This Row],[Est average wage cost]]/Housekeeping_sample[[#This Row],[Costs Rate Estimator]]</f>
        <v>0.82282829180177375</v>
      </c>
      <c r="Y82" s="14">
        <f>+Housekeeping_sample[[#This Row],[Hkpg min]]/Housekeeping_sample[[#This Row],[Hkpg median]]</f>
        <v>0.88235294117647056</v>
      </c>
      <c r="Z82" s="14">
        <f>+Housekeeping_sample[[#This Row],[Hkpg max]]/Housekeeping_sample[[#This Row],[Hkpg median]]</f>
        <v>1.1764705882352942</v>
      </c>
      <c r="AA82" s="10">
        <f>VLOOKUP(A82,Summary!$1:$1048576,2,FALSE)</f>
        <v>3</v>
      </c>
    </row>
    <row r="83" spans="1:27" x14ac:dyDescent="0.55000000000000004">
      <c r="A83" s="10">
        <v>719</v>
      </c>
      <c r="B83" s="10" t="s">
        <v>54</v>
      </c>
      <c r="C83" s="10">
        <f>VLOOKUP($A83,'SAS Data'!$1:$1048576,MATCH(C$1,'SAS Data'!$3:$3,0),FALSE)</f>
        <v>0</v>
      </c>
      <c r="D83" s="10">
        <f>VLOOKUP($A83,'SAS Data'!$1:$1048576,MATCH(D$1,'SAS Data'!$3:$3,0),FALSE)</f>
        <v>0</v>
      </c>
      <c r="E83" s="10">
        <f t="shared" si="2"/>
        <v>0</v>
      </c>
      <c r="F83" s="11">
        <f>VLOOKUP($A83,'SAS Data'!$1:$1048576,MATCH(F$1,'SAS Data'!$3:$3,0),FALSE)</f>
        <v>0</v>
      </c>
      <c r="G83" s="12">
        <f>VLOOKUP($A83,'SAS Data'!$1:$1048576,MATCH(G$1,'SAS Data'!$3:$3,0),FALSE)</f>
        <v>5074</v>
      </c>
      <c r="H83" s="12">
        <f>+Housekeeping_sample[[#This Row],[Hkpg Cph]]*Housekeeping_sample[[#This Row],[Hkpg Hrsn]]</f>
        <v>0</v>
      </c>
      <c r="I83" s="12">
        <f>VLOOKUP(Housekeeping_sample[[#This Row],[Random ID]],'Estimator data 120523'!$A:$H,8,FALSE)</f>
        <v>107684.48078328998</v>
      </c>
      <c r="J83" s="11">
        <f>+Housekeeping_sample[[#This Row],[Costs Rate Estimator]]/Housekeeping_sample[[#This Row],[Hkpg Hrsn]]</f>
        <v>21.222798735374454</v>
      </c>
      <c r="K83" s="10">
        <f>COUNTIF('HSKG detail'!A:A,A83)</f>
        <v>11</v>
      </c>
      <c r="L83" s="13">
        <v>17.579999999999998</v>
      </c>
      <c r="M83" s="13">
        <v>19.440000000000001</v>
      </c>
      <c r="N83" s="13">
        <v>19.09</v>
      </c>
      <c r="O83" s="13">
        <v>18.99909090909091</v>
      </c>
      <c r="P83" s="10">
        <f>COUNTIFS('HSKG detail'!$A:$A,$A83,'HSKG detail'!$C:$C,"&lt;"&amp;N83)</f>
        <v>4</v>
      </c>
      <c r="Q83" s="10">
        <f>COUNTIFS('HSKG detail'!$A:$A,$A83,'HSKG detail'!$C:$C,"&lt;"&amp;O83)</f>
        <v>4</v>
      </c>
      <c r="R83" s="10">
        <f>COUNTIFS('HSKG detail'!$A:$A,$A83,'HSKG detail'!$C:$C,"&lt;"&amp;$AE$1)</f>
        <v>11</v>
      </c>
      <c r="S83" s="10">
        <f>COUNTIFS('HSKG detail'!$A:$A,$A83,'HSKG detail'!$C:$C,"&lt;"&amp;$AE$2)</f>
        <v>0</v>
      </c>
      <c r="T83" s="10">
        <f>COUNTIFS('HSKG detail'!$A:$A,$A83,'HSKG detail'!$C:$C,"&lt;"&amp;$AE$3)</f>
        <v>0</v>
      </c>
      <c r="U83" s="12">
        <f>+Housekeeping_sample[[#This Row],[Hkpg median]]*Housekeeping_sample[[#This Row],[Hkpg Hrsn]]</f>
        <v>96862.66</v>
      </c>
      <c r="V83" s="12">
        <f>+Housekeeping_sample[[#This Row],[Hkpg average]]*Housekeeping_sample[[#This Row],[Hkpg Hrsn]]</f>
        <v>96401.387272727283</v>
      </c>
      <c r="W83" s="14">
        <f>Housekeeping_sample[[#This Row],[Est median wage cost ]]/Housekeeping_sample[[#This Row],[Costs Rate Estimator]]</f>
        <v>0.89950436028875513</v>
      </c>
      <c r="X83" s="14">
        <f>Housekeeping_sample[[#This Row],[Est average wage cost]]/Housekeeping_sample[[#This Row],[Costs Rate Estimator]]</f>
        <v>0.89522080221318612</v>
      </c>
      <c r="Y83" s="14">
        <f>+Housekeeping_sample[[#This Row],[Hkpg min]]/Housekeeping_sample[[#This Row],[Hkpg median]]</f>
        <v>0.92090099528548974</v>
      </c>
      <c r="Z83" s="14">
        <f>+Housekeeping_sample[[#This Row],[Hkpg max]]/Housekeeping_sample[[#This Row],[Hkpg median]]</f>
        <v>1.0183342063907805</v>
      </c>
      <c r="AA83" s="10">
        <f>VLOOKUP(A83,Summary!$1:$1048576,2,FALSE)</f>
        <v>2</v>
      </c>
    </row>
    <row r="84" spans="1:27" x14ac:dyDescent="0.55000000000000004">
      <c r="A84" s="10">
        <v>145</v>
      </c>
      <c r="B84" s="10" t="s">
        <v>54</v>
      </c>
      <c r="C84" s="10">
        <f>VLOOKUP($A84,'SAS Data'!$1:$1048576,MATCH(C$1,'SAS Data'!$3:$3,0),FALSE)</f>
        <v>6</v>
      </c>
      <c r="D84" s="10">
        <f>VLOOKUP($A84,'SAS Data'!$1:$1048576,MATCH(D$1,'SAS Data'!$3:$3,0),FALSE)</f>
        <v>2</v>
      </c>
      <c r="E84" s="10">
        <f t="shared" si="2"/>
        <v>8</v>
      </c>
      <c r="F84" s="11">
        <f>VLOOKUP($A84,'SAS Data'!$1:$1048576,MATCH(F$1,'SAS Data'!$3:$3,0),FALSE)</f>
        <v>21.759357532017262</v>
      </c>
      <c r="G84" s="12">
        <f>VLOOKUP($A84,'SAS Data'!$1:$1048576,MATCH(G$1,'SAS Data'!$3:$3,0),FALSE)</f>
        <v>14133</v>
      </c>
      <c r="H84" s="12">
        <f>+Housekeeping_sample[[#This Row],[Hkpg Cph]]*Housekeeping_sample[[#This Row],[Hkpg Hrsn]]</f>
        <v>307524.99999999994</v>
      </c>
      <c r="I84" s="12">
        <f>VLOOKUP(Housekeeping_sample[[#This Row],[Random ID]],'Estimator data 120523'!$A:$H,8,FALSE)</f>
        <v>307525</v>
      </c>
      <c r="J84" s="11">
        <f>+Housekeeping_sample[[#This Row],[Costs Rate Estimator]]/Housekeeping_sample[[#This Row],[Hkpg Hrsn]]</f>
        <v>21.759357532017265</v>
      </c>
      <c r="K84" s="10">
        <f>COUNTIF('HSKG detail'!A:A,A84)</f>
        <v>8</v>
      </c>
      <c r="L84" s="13">
        <v>17</v>
      </c>
      <c r="M84" s="13">
        <v>20</v>
      </c>
      <c r="N84" s="13">
        <v>17.255000000000003</v>
      </c>
      <c r="O84" s="13">
        <v>17.737500000000001</v>
      </c>
      <c r="P84" s="10">
        <f>COUNTIFS('HSKG detail'!$A:$A,$A84,'HSKG detail'!$C:$C,"&lt;"&amp;N84)</f>
        <v>4</v>
      </c>
      <c r="Q84" s="10">
        <f>COUNTIFS('HSKG detail'!$A:$A,$A84,'HSKG detail'!$C:$C,"&lt;"&amp;O84)</f>
        <v>6</v>
      </c>
      <c r="R84" s="10">
        <f>COUNTIFS('HSKG detail'!$A:$A,$A84,'HSKG detail'!$C:$C,"&lt;"&amp;$AE$1)</f>
        <v>8</v>
      </c>
      <c r="S84" s="10">
        <f>COUNTIFS('HSKG detail'!$A:$A,$A84,'HSKG detail'!$C:$C,"&lt;"&amp;$AE$2)</f>
        <v>4</v>
      </c>
      <c r="T84" s="10">
        <f>COUNTIFS('HSKG detail'!$A:$A,$A84,'HSKG detail'!$C:$C,"&lt;"&amp;$AE$3)</f>
        <v>4</v>
      </c>
      <c r="U84" s="12">
        <f>+Housekeeping_sample[[#This Row],[Hkpg median]]*Housekeeping_sample[[#This Row],[Hkpg Hrsn]]</f>
        <v>243864.91500000004</v>
      </c>
      <c r="V84" s="12">
        <f>+Housekeeping_sample[[#This Row],[Hkpg average]]*Housekeeping_sample[[#This Row],[Hkpg Hrsn]]</f>
        <v>250684.08750000002</v>
      </c>
      <c r="W84" s="14">
        <f>Housekeeping_sample[[#This Row],[Est median wage cost ]]/Housekeeping_sample[[#This Row],[Costs Rate Estimator]]</f>
        <v>0.79299216323876121</v>
      </c>
      <c r="X84" s="14">
        <f>Housekeeping_sample[[#This Row],[Est average wage cost]]/Housekeeping_sample[[#This Row],[Costs Rate Estimator]]</f>
        <v>0.8151665311763272</v>
      </c>
      <c r="Y84" s="14">
        <f>+Housekeeping_sample[[#This Row],[Hkpg min]]/Housekeeping_sample[[#This Row],[Hkpg median]]</f>
        <v>0.9852216748768472</v>
      </c>
      <c r="Z84" s="14">
        <f>+Housekeeping_sample[[#This Row],[Hkpg max]]/Housekeeping_sample[[#This Row],[Hkpg median]]</f>
        <v>1.159084323384526</v>
      </c>
      <c r="AA84" s="10">
        <f>VLOOKUP(A84,Summary!$1:$1048576,2,FALSE)</f>
        <v>3</v>
      </c>
    </row>
    <row r="85" spans="1:27" x14ac:dyDescent="0.55000000000000004">
      <c r="A85" s="10">
        <v>506</v>
      </c>
      <c r="B85" s="10" t="s">
        <v>54</v>
      </c>
      <c r="C85" s="10">
        <f>VLOOKUP($A85,'SAS Data'!$1:$1048576,MATCH(C$1,'SAS Data'!$3:$3,0),FALSE)</f>
        <v>9</v>
      </c>
      <c r="D85" s="10">
        <f>VLOOKUP($A85,'SAS Data'!$1:$1048576,MATCH(D$1,'SAS Data'!$3:$3,0),FALSE)</f>
        <v>0</v>
      </c>
      <c r="E85" s="10">
        <f t="shared" si="2"/>
        <v>9</v>
      </c>
      <c r="F85" s="11">
        <f>VLOOKUP($A85,'SAS Data'!$1:$1048576,MATCH(F$1,'SAS Data'!$3:$3,0),FALSE)</f>
        <v>20.378176482358434</v>
      </c>
      <c r="G85" s="12">
        <f>VLOOKUP($A85,'SAS Data'!$1:$1048576,MATCH(G$1,'SAS Data'!$3:$3,0),FALSE)</f>
        <v>14993</v>
      </c>
      <c r="H85" s="12">
        <f>+Housekeeping_sample[[#This Row],[Hkpg Cph]]*Housekeeping_sample[[#This Row],[Hkpg Hrsn]]</f>
        <v>305530</v>
      </c>
      <c r="I85" s="12">
        <f>VLOOKUP(Housekeeping_sample[[#This Row],[Random ID]],'Estimator data 120523'!$A:$H,8,FALSE)</f>
        <v>326248</v>
      </c>
      <c r="J85" s="11">
        <f>+Housekeeping_sample[[#This Row],[Costs Rate Estimator]]/Housekeeping_sample[[#This Row],[Hkpg Hrsn]]</f>
        <v>21.760021343293538</v>
      </c>
      <c r="K85" s="10">
        <f>COUNTIF('HSKG detail'!A:A,A85)</f>
        <v>7</v>
      </c>
      <c r="L85" s="13">
        <v>16.5</v>
      </c>
      <c r="M85" s="13">
        <v>18.86</v>
      </c>
      <c r="N85" s="13">
        <v>17.03</v>
      </c>
      <c r="O85" s="13">
        <v>17.138571428571431</v>
      </c>
      <c r="P85" s="10">
        <f>COUNTIFS('HSKG detail'!$A:$A,$A85,'HSKG detail'!$C:$C,"&lt;"&amp;N85)</f>
        <v>3</v>
      </c>
      <c r="Q85" s="10">
        <f>COUNTIFS('HSKG detail'!$A:$A,$A85,'HSKG detail'!$C:$C,"&lt;"&amp;O85)</f>
        <v>6</v>
      </c>
      <c r="R85" s="10">
        <f>COUNTIFS('HSKG detail'!$A:$A,$A85,'HSKG detail'!$C:$C,"&lt;"&amp;$AE$1)</f>
        <v>7</v>
      </c>
      <c r="S85" s="10">
        <f>COUNTIFS('HSKG detail'!$A:$A,$A85,'HSKG detail'!$C:$C,"&lt;"&amp;$AE$2)</f>
        <v>6</v>
      </c>
      <c r="T85" s="10">
        <f>COUNTIFS('HSKG detail'!$A:$A,$A85,'HSKG detail'!$C:$C,"&lt;"&amp;$AE$3)</f>
        <v>6</v>
      </c>
      <c r="U85" s="12">
        <f>+Housekeeping_sample[[#This Row],[Hkpg median]]*Housekeeping_sample[[#This Row],[Hkpg Hrsn]]</f>
        <v>255330.79</v>
      </c>
      <c r="V85" s="12">
        <f>+Housekeeping_sample[[#This Row],[Hkpg average]]*Housekeeping_sample[[#This Row],[Hkpg Hrsn]]</f>
        <v>256958.60142857148</v>
      </c>
      <c r="W85" s="14">
        <f>Housekeeping_sample[[#This Row],[Est median wage cost ]]/Housekeeping_sample[[#This Row],[Costs Rate Estimator]]</f>
        <v>0.78262790883009248</v>
      </c>
      <c r="X85" s="14">
        <f>Housekeeping_sample[[#This Row],[Est average wage cost]]/Housekeeping_sample[[#This Row],[Costs Rate Estimator]]</f>
        <v>0.78761739973447031</v>
      </c>
      <c r="Y85" s="14">
        <f>+Housekeeping_sample[[#This Row],[Hkpg min]]/Housekeeping_sample[[#This Row],[Hkpg median]]</f>
        <v>0.96887844979448023</v>
      </c>
      <c r="Z85" s="14">
        <f>+Housekeeping_sample[[#This Row],[Hkpg max]]/Housekeeping_sample[[#This Row],[Hkpg median]]</f>
        <v>1.1074574280681151</v>
      </c>
      <c r="AA85" s="10">
        <f>VLOOKUP(A85,Summary!$1:$1048576,2,FALSE)</f>
        <v>3</v>
      </c>
    </row>
    <row r="86" spans="1:27" x14ac:dyDescent="0.55000000000000004">
      <c r="A86" s="10">
        <v>738</v>
      </c>
      <c r="B86" s="10" t="s">
        <v>54</v>
      </c>
      <c r="C86" s="10">
        <f>VLOOKUP($A86,'SAS Data'!$1:$1048576,MATCH(C$1,'SAS Data'!$3:$3,0),FALSE)</f>
        <v>2</v>
      </c>
      <c r="D86" s="10">
        <f>VLOOKUP($A86,'SAS Data'!$1:$1048576,MATCH(D$1,'SAS Data'!$3:$3,0),FALSE)</f>
        <v>0</v>
      </c>
      <c r="E86" s="10">
        <f t="shared" si="2"/>
        <v>2</v>
      </c>
      <c r="F86" s="11">
        <f>VLOOKUP($A86,'SAS Data'!$1:$1048576,MATCH(F$1,'SAS Data'!$3:$3,0),FALSE)</f>
        <v>21.826240093924277</v>
      </c>
      <c r="G86" s="12">
        <f>VLOOKUP($A86,'SAS Data'!$1:$1048576,MATCH(G$1,'SAS Data'!$3:$3,0),FALSE)</f>
        <v>3407</v>
      </c>
      <c r="H86" s="12">
        <f>+Housekeeping_sample[[#This Row],[Hkpg Cph]]*Housekeeping_sample[[#This Row],[Hkpg Hrsn]]</f>
        <v>74362.000000000015</v>
      </c>
      <c r="I86" s="12">
        <f>VLOOKUP(Housekeeping_sample[[#This Row],[Random ID]],'Estimator data 120523'!$A:$H,8,FALSE)</f>
        <v>74362</v>
      </c>
      <c r="J86" s="11">
        <f>+Housekeeping_sample[[#This Row],[Costs Rate Estimator]]/Housekeeping_sample[[#This Row],[Hkpg Hrsn]]</f>
        <v>21.826240093924273</v>
      </c>
      <c r="K86" s="10">
        <f>COUNTIF('HSKG detail'!A:A,A86)</f>
        <v>2</v>
      </c>
      <c r="L86" s="13">
        <v>13.26</v>
      </c>
      <c r="M86" s="13">
        <v>15.75</v>
      </c>
      <c r="N86" s="13">
        <v>14.504999999999999</v>
      </c>
      <c r="O86" s="13">
        <v>14.504999999999999</v>
      </c>
      <c r="P86" s="10">
        <f>COUNTIFS('HSKG detail'!$A:$A,$A86,'HSKG detail'!$C:$C,"&lt;"&amp;N86)</f>
        <v>1</v>
      </c>
      <c r="Q86" s="10">
        <f>COUNTIFS('HSKG detail'!$A:$A,$A86,'HSKG detail'!$C:$C,"&lt;"&amp;O86)</f>
        <v>1</v>
      </c>
      <c r="R86" s="10">
        <f>COUNTIFS('HSKG detail'!$A:$A,$A86,'HSKG detail'!$C:$C,"&lt;"&amp;$AE$1)</f>
        <v>2</v>
      </c>
      <c r="S86" s="10">
        <f>COUNTIFS('HSKG detail'!$A:$A,$A86,'HSKG detail'!$C:$C,"&lt;"&amp;$AE$2)</f>
        <v>2</v>
      </c>
      <c r="T86" s="10">
        <f>COUNTIFS('HSKG detail'!$A:$A,$A86,'HSKG detail'!$C:$C,"&lt;"&amp;$AE$3)</f>
        <v>2</v>
      </c>
      <c r="U86" s="12">
        <f>+Housekeeping_sample[[#This Row],[Hkpg median]]*Housekeeping_sample[[#This Row],[Hkpg Hrsn]]</f>
        <v>49418.534999999996</v>
      </c>
      <c r="V86" s="12">
        <f>+Housekeeping_sample[[#This Row],[Hkpg average]]*Housekeeping_sample[[#This Row],[Hkpg Hrsn]]</f>
        <v>49418.534999999996</v>
      </c>
      <c r="W86" s="14">
        <f>Housekeeping_sample[[#This Row],[Est median wage cost ]]/Housekeeping_sample[[#This Row],[Costs Rate Estimator]]</f>
        <v>0.66456705037519159</v>
      </c>
      <c r="X86" s="14">
        <f>Housekeeping_sample[[#This Row],[Est average wage cost]]/Housekeeping_sample[[#This Row],[Costs Rate Estimator]]</f>
        <v>0.66456705037519159</v>
      </c>
      <c r="Y86" s="14">
        <f>+Housekeeping_sample[[#This Row],[Hkpg min]]/Housekeeping_sample[[#This Row],[Hkpg median]]</f>
        <v>0.91416752843846949</v>
      </c>
      <c r="Z86" s="14">
        <f>+Housekeeping_sample[[#This Row],[Hkpg max]]/Housekeeping_sample[[#This Row],[Hkpg median]]</f>
        <v>1.0858324715615306</v>
      </c>
      <c r="AA86" s="10">
        <f>VLOOKUP(A86,Summary!$1:$1048576,2,FALSE)</f>
        <v>2</v>
      </c>
    </row>
    <row r="87" spans="1:27" x14ac:dyDescent="0.55000000000000004">
      <c r="A87" s="10">
        <v>938</v>
      </c>
      <c r="B87" s="10" t="s">
        <v>54</v>
      </c>
      <c r="C87" s="10">
        <f>VLOOKUP($A87,'SAS Data'!$1:$1048576,MATCH(C$1,'SAS Data'!$3:$3,0),FALSE)</f>
        <v>0</v>
      </c>
      <c r="D87" s="10">
        <f>VLOOKUP($A87,'SAS Data'!$1:$1048576,MATCH(D$1,'SAS Data'!$3:$3,0),FALSE)</f>
        <v>0</v>
      </c>
      <c r="E87" s="10">
        <f t="shared" si="2"/>
        <v>0</v>
      </c>
      <c r="F87" s="11">
        <f>VLOOKUP($A87,'SAS Data'!$1:$1048576,MATCH(F$1,'SAS Data'!$3:$3,0),FALSE)</f>
        <v>0</v>
      </c>
      <c r="G87" s="12">
        <f>VLOOKUP($A87,'SAS Data'!$1:$1048576,MATCH(G$1,'SAS Data'!$3:$3,0),FALSE)</f>
        <v>3172</v>
      </c>
      <c r="H87" s="12">
        <f>+Housekeeping_sample[[#This Row],[Hkpg Cph]]*Housekeeping_sample[[#This Row],[Hkpg Hrsn]]</f>
        <v>0</v>
      </c>
      <c r="I87" s="12">
        <f>VLOOKUP(Housekeeping_sample[[#This Row],[Random ID]],'Estimator data 120523'!$A:$H,8,FALSE)</f>
        <v>73666.192704142974</v>
      </c>
      <c r="J87" s="11">
        <f>+Housekeeping_sample[[#This Row],[Costs Rate Estimator]]/Housekeeping_sample[[#This Row],[Hkpg Hrsn]]</f>
        <v>23.223894295127042</v>
      </c>
      <c r="K87" s="10">
        <f>COUNTIF('HSKG detail'!A:A,A87)</f>
        <v>9</v>
      </c>
      <c r="L87" s="13">
        <v>15</v>
      </c>
      <c r="M87" s="13">
        <v>19.87</v>
      </c>
      <c r="N87" s="13">
        <v>16.66</v>
      </c>
      <c r="O87" s="13">
        <v>17.197777777777777</v>
      </c>
      <c r="P87" s="10">
        <f>COUNTIFS('HSKG detail'!$A:$A,$A87,'HSKG detail'!$C:$C,"&lt;"&amp;N87)</f>
        <v>2</v>
      </c>
      <c r="Q87" s="10">
        <f>COUNTIFS('HSKG detail'!$A:$A,$A87,'HSKG detail'!$C:$C,"&lt;"&amp;O87)</f>
        <v>5</v>
      </c>
      <c r="R87" s="10">
        <f>COUNTIFS('HSKG detail'!$A:$A,$A87,'HSKG detail'!$C:$C,"&lt;"&amp;$AE$1)</f>
        <v>9</v>
      </c>
      <c r="S87" s="10">
        <f>COUNTIFS('HSKG detail'!$A:$A,$A87,'HSKG detail'!$C:$C,"&lt;"&amp;$AE$2)</f>
        <v>5</v>
      </c>
      <c r="T87" s="10">
        <f>COUNTIFS('HSKG detail'!$A:$A,$A87,'HSKG detail'!$C:$C,"&lt;"&amp;$AE$3)</f>
        <v>5</v>
      </c>
      <c r="U87" s="12">
        <f>+Housekeeping_sample[[#This Row],[Hkpg median]]*Housekeeping_sample[[#This Row],[Hkpg Hrsn]]</f>
        <v>52845.520000000004</v>
      </c>
      <c r="V87" s="12">
        <f>+Housekeeping_sample[[#This Row],[Hkpg average]]*Housekeeping_sample[[#This Row],[Hkpg Hrsn]]</f>
        <v>54551.351111111107</v>
      </c>
      <c r="W87" s="14">
        <f>Housekeeping_sample[[#This Row],[Est median wage cost ]]/Housekeeping_sample[[#This Row],[Costs Rate Estimator]]</f>
        <v>0.71736461543814767</v>
      </c>
      <c r="X87" s="14">
        <f>Housekeeping_sample[[#This Row],[Est average wage cost]]/Housekeeping_sample[[#This Row],[Costs Rate Estimator]]</f>
        <v>0.74052084285391806</v>
      </c>
      <c r="Y87" s="14">
        <f>+Housekeeping_sample[[#This Row],[Hkpg min]]/Housekeeping_sample[[#This Row],[Hkpg median]]</f>
        <v>0.90036014405762299</v>
      </c>
      <c r="Z87" s="14">
        <f>+Housekeeping_sample[[#This Row],[Hkpg max]]/Housekeeping_sample[[#This Row],[Hkpg median]]</f>
        <v>1.1926770708283314</v>
      </c>
      <c r="AA87" s="10">
        <f>VLOOKUP(A87,Summary!$1:$1048576,2,FALSE)</f>
        <v>3</v>
      </c>
    </row>
    <row r="88" spans="1:27" x14ac:dyDescent="0.55000000000000004">
      <c r="A88" s="10">
        <v>575</v>
      </c>
      <c r="B88" s="10" t="s">
        <v>54</v>
      </c>
      <c r="C88" s="10">
        <f>VLOOKUP($A88,'SAS Data'!$1:$1048576,MATCH(C$1,'SAS Data'!$3:$3,0),FALSE)</f>
        <v>7</v>
      </c>
      <c r="D88" s="10">
        <f>VLOOKUP($A88,'SAS Data'!$1:$1048576,MATCH(D$1,'SAS Data'!$3:$3,0),FALSE)</f>
        <v>0</v>
      </c>
      <c r="E88" s="10">
        <f t="shared" si="2"/>
        <v>7</v>
      </c>
      <c r="F88" s="11">
        <f>VLOOKUP($A88,'SAS Data'!$1:$1048576,MATCH(F$1,'SAS Data'!$3:$3,0),FALSE)</f>
        <v>23.598928491703251</v>
      </c>
      <c r="G88" s="12">
        <f>VLOOKUP($A88,'SAS Data'!$1:$1048576,MATCH(G$1,'SAS Data'!$3:$3,0),FALSE)</f>
        <v>13439</v>
      </c>
      <c r="H88" s="12">
        <f>+Housekeeping_sample[[#This Row],[Hkpg Cph]]*Housekeeping_sample[[#This Row],[Hkpg Hrsn]]</f>
        <v>317146</v>
      </c>
      <c r="I88" s="12">
        <f>VLOOKUP(Housekeeping_sample[[#This Row],[Random ID]],'Estimator data 120523'!$A:$H,8,FALSE)</f>
        <v>318460</v>
      </c>
      <c r="J88" s="11">
        <f>+Housekeeping_sample[[#This Row],[Costs Rate Estimator]]/Housekeeping_sample[[#This Row],[Hkpg Hrsn]]</f>
        <v>23.696703623781531</v>
      </c>
      <c r="K88" s="10">
        <f>COUNTIF('HSKG detail'!A:A,A88)</f>
        <v>6</v>
      </c>
      <c r="L88" s="13">
        <v>17.670000000000002</v>
      </c>
      <c r="M88" s="13">
        <v>20.54</v>
      </c>
      <c r="N88" s="13">
        <v>19.7</v>
      </c>
      <c r="O88" s="13">
        <v>19.443333333333335</v>
      </c>
      <c r="P88" s="10">
        <f>COUNTIFS('HSKG detail'!$A:$A,$A88,'HSKG detail'!$C:$C,"&lt;"&amp;N88)</f>
        <v>3</v>
      </c>
      <c r="Q88" s="10">
        <f>COUNTIFS('HSKG detail'!$A:$A,$A88,'HSKG detail'!$C:$C,"&lt;"&amp;O88)</f>
        <v>2</v>
      </c>
      <c r="R88" s="10">
        <f>COUNTIFS('HSKG detail'!$A:$A,$A88,'HSKG detail'!$C:$C,"&lt;"&amp;$AE$1)</f>
        <v>6</v>
      </c>
      <c r="S88" s="10">
        <f>COUNTIFS('HSKG detail'!$A:$A,$A88,'HSKG detail'!$C:$C,"&lt;"&amp;$AE$2)</f>
        <v>0</v>
      </c>
      <c r="T88" s="10">
        <f>COUNTIFS('HSKG detail'!$A:$A,$A88,'HSKG detail'!$C:$C,"&lt;"&amp;$AE$3)</f>
        <v>0</v>
      </c>
      <c r="U88" s="12">
        <f>+Housekeeping_sample[[#This Row],[Hkpg median]]*Housekeeping_sample[[#This Row],[Hkpg Hrsn]]</f>
        <v>264748.3</v>
      </c>
      <c r="V88" s="12">
        <f>+Housekeeping_sample[[#This Row],[Hkpg average]]*Housekeeping_sample[[#This Row],[Hkpg Hrsn]]</f>
        <v>261298.95666666669</v>
      </c>
      <c r="W88" s="14">
        <f>Housekeeping_sample[[#This Row],[Est median wage cost ]]/Housekeeping_sample[[#This Row],[Costs Rate Estimator]]</f>
        <v>0.83133925767757333</v>
      </c>
      <c r="X88" s="14">
        <f>Housekeeping_sample[[#This Row],[Est average wage cost]]/Housekeeping_sample[[#This Row],[Costs Rate Estimator]]</f>
        <v>0.82050793401578437</v>
      </c>
      <c r="Y88" s="14">
        <f>+Housekeeping_sample[[#This Row],[Hkpg min]]/Housekeeping_sample[[#This Row],[Hkpg median]]</f>
        <v>0.89695431472081233</v>
      </c>
      <c r="Z88" s="14">
        <f>+Housekeeping_sample[[#This Row],[Hkpg max]]/Housekeeping_sample[[#This Row],[Hkpg median]]</f>
        <v>1.0426395939086295</v>
      </c>
      <c r="AA88" s="10">
        <f>VLOOKUP(A88,Summary!$1:$1048576,2,FALSE)</f>
        <v>3</v>
      </c>
    </row>
    <row r="89" spans="1:27" x14ac:dyDescent="0.55000000000000004">
      <c r="A89" s="10">
        <v>385</v>
      </c>
      <c r="B89" s="10" t="s">
        <v>54</v>
      </c>
      <c r="C89" s="10">
        <f>VLOOKUP($A89,'SAS Data'!$1:$1048576,MATCH(C$1,'SAS Data'!$3:$3,0),FALSE)</f>
        <v>1</v>
      </c>
      <c r="D89" s="10">
        <f>VLOOKUP($A89,'SAS Data'!$1:$1048576,MATCH(D$1,'SAS Data'!$3:$3,0),FALSE)</f>
        <v>4</v>
      </c>
      <c r="E89" s="10">
        <f t="shared" si="2"/>
        <v>5</v>
      </c>
      <c r="F89" s="11">
        <f>VLOOKUP($A89,'SAS Data'!$1:$1048576,MATCH(F$1,'SAS Data'!$3:$3,0),FALSE)</f>
        <v>27.352612684483443</v>
      </c>
      <c r="G89" s="12">
        <f>VLOOKUP($A89,'SAS Data'!$1:$1048576,MATCH(G$1,'SAS Data'!$3:$3,0),FALSE)</f>
        <v>2507</v>
      </c>
      <c r="H89" s="12">
        <f>+Housekeeping_sample[[#This Row],[Hkpg Cph]]*Housekeeping_sample[[#This Row],[Hkpg Hrsn]]</f>
        <v>68572.999999999985</v>
      </c>
      <c r="I89" s="12">
        <f>VLOOKUP(Housekeeping_sample[[#This Row],[Random ID]],'Estimator data 120523'!$A:$H,8,FALSE)</f>
        <v>77641</v>
      </c>
      <c r="J89" s="11">
        <f>+Housekeeping_sample[[#This Row],[Costs Rate Estimator]]/Housekeeping_sample[[#This Row],[Hkpg Hrsn]]</f>
        <v>30.969684882329478</v>
      </c>
      <c r="K89" s="10">
        <f>COUNTIF('HSKG detail'!A:A,A89)</f>
        <v>4</v>
      </c>
      <c r="L89" s="13">
        <v>16</v>
      </c>
      <c r="M89" s="13">
        <v>17.77</v>
      </c>
      <c r="N89" s="13">
        <v>17.005000000000003</v>
      </c>
      <c r="O89" s="13">
        <v>16.945</v>
      </c>
      <c r="P89" s="10">
        <f>COUNTIFS('HSKG detail'!$A:$A,$A89,'HSKG detail'!$C:$C,"&lt;"&amp;N89)</f>
        <v>2</v>
      </c>
      <c r="Q89" s="10">
        <f>COUNTIFS('HSKG detail'!$A:$A,$A89,'HSKG detail'!$C:$C,"&lt;"&amp;O89)</f>
        <v>2</v>
      </c>
      <c r="R89" s="10">
        <f>COUNTIFS('HSKG detail'!$A:$A,$A89,'HSKG detail'!$C:$C,"&lt;"&amp;$AE$1)</f>
        <v>4</v>
      </c>
      <c r="S89" s="10">
        <f>COUNTIFS('HSKG detail'!$A:$A,$A89,'HSKG detail'!$C:$C,"&lt;"&amp;$AE$2)</f>
        <v>2</v>
      </c>
      <c r="T89" s="10">
        <f>COUNTIFS('HSKG detail'!$A:$A,$A89,'HSKG detail'!$C:$C,"&lt;"&amp;$AE$3)</f>
        <v>2</v>
      </c>
      <c r="U89" s="12">
        <f>+Housekeeping_sample[[#This Row],[Hkpg median]]*Housekeeping_sample[[#This Row],[Hkpg Hrsn]]</f>
        <v>42631.535000000003</v>
      </c>
      <c r="V89" s="12">
        <f>+Housekeeping_sample[[#This Row],[Hkpg average]]*Housekeeping_sample[[#This Row],[Hkpg Hrsn]]</f>
        <v>42481.114999999998</v>
      </c>
      <c r="W89" s="14">
        <f>Housekeeping_sample[[#This Row],[Est median wage cost ]]/Housekeeping_sample[[#This Row],[Costs Rate Estimator]]</f>
        <v>0.5490853415077086</v>
      </c>
      <c r="X89" s="14">
        <f>Housekeeping_sample[[#This Row],[Est average wage cost]]/Housekeeping_sample[[#This Row],[Costs Rate Estimator]]</f>
        <v>0.54714796306075397</v>
      </c>
      <c r="Y89" s="14">
        <f>+Housekeeping_sample[[#This Row],[Hkpg min]]/Housekeeping_sample[[#This Row],[Hkpg median]]</f>
        <v>0.94089973537194926</v>
      </c>
      <c r="Z89" s="14">
        <f>+Housekeeping_sample[[#This Row],[Hkpg max]]/Housekeeping_sample[[#This Row],[Hkpg median]]</f>
        <v>1.0449867685974712</v>
      </c>
      <c r="AA89" s="10">
        <f>VLOOKUP(A89,Summary!$1:$1048576,2,FALSE)</f>
        <v>2</v>
      </c>
    </row>
    <row r="90" spans="1:27" x14ac:dyDescent="0.55000000000000004">
      <c r="A90" s="10">
        <v>560</v>
      </c>
      <c r="B90" s="10" t="s">
        <v>54</v>
      </c>
      <c r="C90" s="10">
        <f>VLOOKUP($A90,'SAS Data'!$1:$1048576,MATCH(C$1,'SAS Data'!$3:$3,0),FALSE)</f>
        <v>1</v>
      </c>
      <c r="D90" s="10">
        <f>VLOOKUP($A90,'SAS Data'!$1:$1048576,MATCH(D$1,'SAS Data'!$3:$3,0),FALSE)</f>
        <v>0</v>
      </c>
      <c r="E90" s="10">
        <f t="shared" si="2"/>
        <v>1</v>
      </c>
      <c r="F90" s="11">
        <f>VLOOKUP($A90,'SAS Data'!$1:$1048576,MATCH(F$1,'SAS Data'!$3:$3,0),FALSE)</f>
        <v>22.786111111111111</v>
      </c>
      <c r="G90" s="12">
        <f>VLOOKUP($A90,'SAS Data'!$1:$1048576,MATCH(G$1,'SAS Data'!$3:$3,0),FALSE)</f>
        <v>2160</v>
      </c>
      <c r="H90" s="12">
        <f>+Housekeeping_sample[[#This Row],[Hkpg Cph]]*Housekeeping_sample[[#This Row],[Hkpg Hrsn]]</f>
        <v>49218</v>
      </c>
      <c r="I90" s="12">
        <f>VLOOKUP(Housekeeping_sample[[#This Row],[Random ID]],'Estimator data 120523'!$A:$H,8,FALSE)</f>
        <v>87786</v>
      </c>
      <c r="J90" s="11">
        <f>+Housekeeping_sample[[#This Row],[Costs Rate Estimator]]/Housekeeping_sample[[#This Row],[Hkpg Hrsn]]</f>
        <v>40.641666666666666</v>
      </c>
      <c r="K90" s="10">
        <f>COUNTIF('HSKG detail'!A:A,A90)</f>
        <v>2</v>
      </c>
      <c r="L90" s="13">
        <v>17.510000000000002</v>
      </c>
      <c r="M90" s="13">
        <v>17.899999999999999</v>
      </c>
      <c r="N90" s="13">
        <v>17.704999999999998</v>
      </c>
      <c r="O90" s="13">
        <v>17.704999999999998</v>
      </c>
      <c r="P90" s="10">
        <f>COUNTIFS('HSKG detail'!$A:$A,$A90,'HSKG detail'!$C:$C,"&lt;"&amp;N90)</f>
        <v>1</v>
      </c>
      <c r="Q90" s="10">
        <f>COUNTIFS('HSKG detail'!$A:$A,$A90,'HSKG detail'!$C:$C,"&lt;"&amp;O90)</f>
        <v>1</v>
      </c>
      <c r="R90" s="10">
        <f>COUNTIFS('HSKG detail'!$A:$A,$A90,'HSKG detail'!$C:$C,"&lt;"&amp;$AE$1)</f>
        <v>2</v>
      </c>
      <c r="S90" s="10">
        <f>COUNTIFS('HSKG detail'!$A:$A,$A90,'HSKG detail'!$C:$C,"&lt;"&amp;$AE$2)</f>
        <v>0</v>
      </c>
      <c r="T90" s="10">
        <f>COUNTIFS('HSKG detail'!$A:$A,$A90,'HSKG detail'!$C:$C,"&lt;"&amp;$AE$3)</f>
        <v>0</v>
      </c>
      <c r="U90" s="12">
        <f>+Housekeeping_sample[[#This Row],[Hkpg median]]*Housekeeping_sample[[#This Row],[Hkpg Hrsn]]</f>
        <v>38242.799999999996</v>
      </c>
      <c r="V90" s="12">
        <f>+Housekeeping_sample[[#This Row],[Hkpg average]]*Housekeeping_sample[[#This Row],[Hkpg Hrsn]]</f>
        <v>38242.799999999996</v>
      </c>
      <c r="W90" s="14">
        <f>Housekeeping_sample[[#This Row],[Est median wage cost ]]/Housekeeping_sample[[#This Row],[Costs Rate Estimator]]</f>
        <v>0.43563666188230465</v>
      </c>
      <c r="X90" s="14">
        <f>Housekeeping_sample[[#This Row],[Est average wage cost]]/Housekeeping_sample[[#This Row],[Costs Rate Estimator]]</f>
        <v>0.43563666188230465</v>
      </c>
      <c r="Y90" s="14">
        <f>+Housekeeping_sample[[#This Row],[Hkpg min]]/Housekeeping_sample[[#This Row],[Hkpg median]]</f>
        <v>0.98898616210110157</v>
      </c>
      <c r="Z90" s="14">
        <f>+Housekeeping_sample[[#This Row],[Hkpg max]]/Housekeeping_sample[[#This Row],[Hkpg median]]</f>
        <v>1.0110138378988986</v>
      </c>
      <c r="AA90" s="10">
        <f>VLOOKUP(A90,Summary!$1:$1048576,2,FALSE)</f>
        <v>3</v>
      </c>
    </row>
    <row r="91" spans="1:27" x14ac:dyDescent="0.55000000000000004">
      <c r="A91" s="10">
        <v>164</v>
      </c>
      <c r="B91" s="10" t="s">
        <v>54</v>
      </c>
      <c r="C91" s="10">
        <f>VLOOKUP($A91,'SAS Data'!$1:$1048576,MATCH(C$1,'SAS Data'!$3:$3,0),FALSE)</f>
        <v>1</v>
      </c>
      <c r="D91" s="10">
        <f>VLOOKUP($A91,'SAS Data'!$1:$1048576,MATCH(D$1,'SAS Data'!$3:$3,0),FALSE)</f>
        <v>2</v>
      </c>
      <c r="E91" s="10">
        <f t="shared" si="2"/>
        <v>3</v>
      </c>
      <c r="F91" s="11">
        <f>VLOOKUP($A91,'SAS Data'!$1:$1048576,MATCH(F$1,'SAS Data'!$3:$3,0),FALSE)</f>
        <v>0</v>
      </c>
      <c r="G91" s="12">
        <f>VLOOKUP($A91,'SAS Data'!$1:$1048576,MATCH(G$1,'SAS Data'!$3:$3,0),FALSE)</f>
        <v>4029</v>
      </c>
      <c r="H91" s="12">
        <f>+Housekeeping_sample[[#This Row],[Hkpg Cph]]*Housekeeping_sample[[#This Row],[Hkpg Hrsn]]</f>
        <v>0</v>
      </c>
      <c r="I91" s="12">
        <f>VLOOKUP(Housekeeping_sample[[#This Row],[Random ID]],'Estimator data 120523'!$A:$H,8,FALSE)</f>
        <v>353734.97362649383</v>
      </c>
      <c r="J91" s="11">
        <f>+Housekeeping_sample[[#This Row],[Costs Rate Estimator]]/Housekeeping_sample[[#This Row],[Hkpg Hrsn]]</f>
        <v>87.797213607965702</v>
      </c>
      <c r="K91" s="10">
        <f>COUNTIF('HSKG detail'!A:A,A91)</f>
        <v>4</v>
      </c>
      <c r="L91" s="13">
        <v>17.86</v>
      </c>
      <c r="M91" s="13">
        <v>19.489999999999998</v>
      </c>
      <c r="N91" s="13">
        <v>18.100000000000001</v>
      </c>
      <c r="O91" s="13">
        <v>18.387499999999999</v>
      </c>
      <c r="P91" s="10">
        <f>COUNTIFS('HSKG detail'!$A:$A,$A91,'HSKG detail'!$C:$C,"&lt;"&amp;N91)</f>
        <v>2</v>
      </c>
      <c r="Q91" s="10">
        <f>COUNTIFS('HSKG detail'!$A:$A,$A91,'HSKG detail'!$C:$C,"&lt;"&amp;O91)</f>
        <v>3</v>
      </c>
      <c r="R91" s="10">
        <f>COUNTIFS('HSKG detail'!$A:$A,$A91,'HSKG detail'!$C:$C,"&lt;"&amp;$AE$1)</f>
        <v>4</v>
      </c>
      <c r="S91" s="10">
        <f>COUNTIFS('HSKG detail'!$A:$A,$A91,'HSKG detail'!$C:$C,"&lt;"&amp;$AE$2)</f>
        <v>0</v>
      </c>
      <c r="T91" s="10">
        <f>COUNTIFS('HSKG detail'!$A:$A,$A91,'HSKG detail'!$C:$C,"&lt;"&amp;$AE$3)</f>
        <v>0</v>
      </c>
      <c r="U91" s="12">
        <f>+Housekeeping_sample[[#This Row],[Hkpg median]]*Housekeeping_sample[[#This Row],[Hkpg Hrsn]]</f>
        <v>72924.900000000009</v>
      </c>
      <c r="V91" s="12">
        <f>+Housekeeping_sample[[#This Row],[Hkpg average]]*Housekeeping_sample[[#This Row],[Hkpg Hrsn]]</f>
        <v>74083.237500000003</v>
      </c>
      <c r="W91" s="14">
        <f>Housekeeping_sample[[#This Row],[Est median wage cost ]]/Housekeeping_sample[[#This Row],[Costs Rate Estimator]]</f>
        <v>0.20615688421298392</v>
      </c>
      <c r="X91" s="14">
        <f>Housekeeping_sample[[#This Row],[Est average wage cost]]/Housekeeping_sample[[#This Row],[Costs Rate Estimator]]</f>
        <v>0.20943147560586969</v>
      </c>
      <c r="Y91" s="14">
        <f>+Housekeeping_sample[[#This Row],[Hkpg min]]/Housekeeping_sample[[#This Row],[Hkpg median]]</f>
        <v>0.98674033149171259</v>
      </c>
      <c r="Z91" s="14">
        <f>+Housekeeping_sample[[#This Row],[Hkpg max]]/Housekeeping_sample[[#This Row],[Hkpg median]]</f>
        <v>1.0767955801104971</v>
      </c>
      <c r="AA91" s="10">
        <f>VLOOKUP(A91,Summary!$1:$1048576,2,FALSE)</f>
        <v>1</v>
      </c>
    </row>
    <row r="92" spans="1:27" x14ac:dyDescent="0.55000000000000004">
      <c r="A92" s="10">
        <v>336</v>
      </c>
      <c r="B92" s="10" t="s">
        <v>54</v>
      </c>
      <c r="C92" s="10">
        <f>VLOOKUP($A92,'SAS Data'!$1:$1048576,MATCH(C$1,'SAS Data'!$3:$3,0),FALSE)</f>
        <v>0</v>
      </c>
      <c r="D92" s="10">
        <f>VLOOKUP($A92,'SAS Data'!$1:$1048576,MATCH(D$1,'SAS Data'!$3:$3,0),FALSE)</f>
        <v>0</v>
      </c>
      <c r="E92" s="10">
        <f t="shared" si="2"/>
        <v>0</v>
      </c>
      <c r="F92" s="11">
        <f>VLOOKUP($A92,'SAS Data'!$1:$1048576,MATCH(F$1,'SAS Data'!$3:$3,0),FALSE)</f>
        <v>0</v>
      </c>
      <c r="G92" s="12">
        <f>VLOOKUP($A92,'SAS Data'!$1:$1048576,MATCH(G$1,'SAS Data'!$3:$3,0),FALSE)</f>
        <v>0</v>
      </c>
      <c r="H92" s="12">
        <f>+Housekeeping_sample[[#This Row],[Hkpg Cph]]*Housekeeping_sample[[#This Row],[Hkpg Hrsn]]</f>
        <v>0</v>
      </c>
      <c r="I92" s="12">
        <f>VLOOKUP(Housekeeping_sample[[#This Row],[Random ID]],'Estimator data 120523'!$A:$H,8,FALSE)</f>
        <v>99793.490948336897</v>
      </c>
      <c r="J92" s="11" t="e">
        <f>+Housekeeping_sample[[#This Row],[Costs Rate Estimator]]/Housekeeping_sample[[#This Row],[Hkpg Hrsn]]</f>
        <v>#DIV/0!</v>
      </c>
      <c r="K92" s="10">
        <f>COUNTIF('HSKG detail'!A:A,A92)</f>
        <v>2</v>
      </c>
      <c r="L92" s="13">
        <v>19.34</v>
      </c>
      <c r="M92" s="13">
        <v>19.760000000000002</v>
      </c>
      <c r="N92" s="13">
        <v>19.55</v>
      </c>
      <c r="O92" s="13">
        <v>19.55</v>
      </c>
      <c r="P92" s="10">
        <f>COUNTIFS('HSKG detail'!$A:$A,$A92,'HSKG detail'!$C:$C,"&lt;"&amp;N92)</f>
        <v>1</v>
      </c>
      <c r="Q92" s="10">
        <f>COUNTIFS('HSKG detail'!$A:$A,$A92,'HSKG detail'!$C:$C,"&lt;"&amp;O92)</f>
        <v>1</v>
      </c>
      <c r="R92" s="10">
        <f>COUNTIFS('HSKG detail'!$A:$A,$A92,'HSKG detail'!$C:$C,"&lt;"&amp;$AE$1)</f>
        <v>2</v>
      </c>
      <c r="S92" s="10">
        <f>COUNTIFS('HSKG detail'!$A:$A,$A92,'HSKG detail'!$C:$C,"&lt;"&amp;$AE$2)</f>
        <v>0</v>
      </c>
      <c r="T92" s="10">
        <f>COUNTIFS('HSKG detail'!$A:$A,$A92,'HSKG detail'!$C:$C,"&lt;"&amp;$AE$3)</f>
        <v>0</v>
      </c>
      <c r="U92" s="12">
        <f>+Housekeeping_sample[[#This Row],[Hkpg median]]*Housekeeping_sample[[#This Row],[Hkpg Hrsn]]</f>
        <v>0</v>
      </c>
      <c r="V92" s="12">
        <f>+Housekeeping_sample[[#This Row],[Hkpg average]]*Housekeeping_sample[[#This Row],[Hkpg Hrsn]]</f>
        <v>0</v>
      </c>
      <c r="W92" s="14">
        <f>Housekeeping_sample[[#This Row],[Est median wage cost ]]/Housekeeping_sample[[#This Row],[Costs Rate Estimator]]</f>
        <v>0</v>
      </c>
      <c r="X92" s="14">
        <f>Housekeeping_sample[[#This Row],[Est average wage cost]]/Housekeeping_sample[[#This Row],[Costs Rate Estimator]]</f>
        <v>0</v>
      </c>
      <c r="Y92" s="14">
        <f>+Housekeeping_sample[[#This Row],[Hkpg min]]/Housekeeping_sample[[#This Row],[Hkpg median]]</f>
        <v>0.98925831202046033</v>
      </c>
      <c r="Z92" s="14">
        <f>+Housekeeping_sample[[#This Row],[Hkpg max]]/Housekeeping_sample[[#This Row],[Hkpg median]]</f>
        <v>1.0107416879795397</v>
      </c>
      <c r="AA92" s="10">
        <f>VLOOKUP(A92,Summary!$1:$1048576,2,FALSE)</f>
        <v>1</v>
      </c>
    </row>
    <row r="93" spans="1:27" x14ac:dyDescent="0.55000000000000004">
      <c r="A93" s="10">
        <v>555</v>
      </c>
      <c r="B93" s="10" t="s">
        <v>54</v>
      </c>
      <c r="C93" s="10">
        <f>VLOOKUP($A93,'SAS Data'!$1:$1048576,MATCH(C$1,'SAS Data'!$3:$3,0),FALSE)</f>
        <v>0</v>
      </c>
      <c r="D93" s="10">
        <f>VLOOKUP($A93,'SAS Data'!$1:$1048576,MATCH(D$1,'SAS Data'!$3:$3,0),FALSE)</f>
        <v>0</v>
      </c>
      <c r="E93" s="10">
        <f t="shared" si="2"/>
        <v>0</v>
      </c>
      <c r="F93" s="11">
        <f>VLOOKUP($A93,'SAS Data'!$1:$1048576,MATCH(F$1,'SAS Data'!$3:$3,0),FALSE)</f>
        <v>0</v>
      </c>
      <c r="G93" s="12">
        <f>VLOOKUP($A93,'SAS Data'!$1:$1048576,MATCH(G$1,'SAS Data'!$3:$3,0),FALSE)</f>
        <v>0</v>
      </c>
      <c r="H93" s="12">
        <f>+Housekeeping_sample[[#This Row],[Hkpg Cph]]*Housekeeping_sample[[#This Row],[Hkpg Hrsn]]</f>
        <v>0</v>
      </c>
      <c r="I93" s="12">
        <f>VLOOKUP(Housekeeping_sample[[#This Row],[Random ID]],'Estimator data 120523'!$A:$H,8,FALSE)</f>
        <v>137999.47743897373</v>
      </c>
      <c r="J93" s="11" t="e">
        <f>+Housekeeping_sample[[#This Row],[Costs Rate Estimator]]/Housekeeping_sample[[#This Row],[Hkpg Hrsn]]</f>
        <v>#DIV/0!</v>
      </c>
      <c r="K93" s="10">
        <f>COUNTIF('HSKG detail'!A:A,A93)</f>
        <v>3</v>
      </c>
      <c r="L93" s="13">
        <v>17.510000000000002</v>
      </c>
      <c r="M93" s="13">
        <v>20.09</v>
      </c>
      <c r="N93" s="13">
        <v>18.47</v>
      </c>
      <c r="O93" s="13">
        <v>18.690000000000001</v>
      </c>
      <c r="P93" s="10">
        <f>COUNTIFS('HSKG detail'!$A:$A,$A93,'HSKG detail'!$C:$C,"&lt;"&amp;N93)</f>
        <v>1</v>
      </c>
      <c r="Q93" s="10">
        <f>COUNTIFS('HSKG detail'!$A:$A,$A93,'HSKG detail'!$C:$C,"&lt;"&amp;O93)</f>
        <v>2</v>
      </c>
      <c r="R93" s="10">
        <f>COUNTIFS('HSKG detail'!$A:$A,$A93,'HSKG detail'!$C:$C,"&lt;"&amp;$AE$1)</f>
        <v>3</v>
      </c>
      <c r="S93" s="10">
        <f>COUNTIFS('HSKG detail'!$A:$A,$A93,'HSKG detail'!$C:$C,"&lt;"&amp;$AE$2)</f>
        <v>0</v>
      </c>
      <c r="T93" s="10">
        <f>COUNTIFS('HSKG detail'!$A:$A,$A93,'HSKG detail'!$C:$C,"&lt;"&amp;$AE$3)</f>
        <v>0</v>
      </c>
      <c r="U93" s="12">
        <f>+Housekeeping_sample[[#This Row],[Hkpg median]]*Housekeeping_sample[[#This Row],[Hkpg Hrsn]]</f>
        <v>0</v>
      </c>
      <c r="V93" s="12">
        <f>+Housekeeping_sample[[#This Row],[Hkpg average]]*Housekeeping_sample[[#This Row],[Hkpg Hrsn]]</f>
        <v>0</v>
      </c>
      <c r="W93" s="14">
        <f>Housekeeping_sample[[#This Row],[Est median wage cost ]]/Housekeeping_sample[[#This Row],[Costs Rate Estimator]]</f>
        <v>0</v>
      </c>
      <c r="X93" s="14">
        <f>Housekeeping_sample[[#This Row],[Est average wage cost]]/Housekeeping_sample[[#This Row],[Costs Rate Estimator]]</f>
        <v>0</v>
      </c>
      <c r="Y93" s="14">
        <f>+Housekeeping_sample[[#This Row],[Hkpg min]]/Housekeeping_sample[[#This Row],[Hkpg median]]</f>
        <v>0.94802382241472671</v>
      </c>
      <c r="Z93" s="14">
        <f>+Housekeeping_sample[[#This Row],[Hkpg max]]/Housekeeping_sample[[#This Row],[Hkpg median]]</f>
        <v>1.087709799675149</v>
      </c>
      <c r="AA93" s="10">
        <f>VLOOKUP(A93,Summary!$1:$1048576,2,FALSE)</f>
        <v>1</v>
      </c>
    </row>
    <row r="94" spans="1:27" x14ac:dyDescent="0.55000000000000004">
      <c r="A94" s="10">
        <v>740</v>
      </c>
      <c r="B94" s="10" t="s">
        <v>54</v>
      </c>
      <c r="C94" s="10">
        <f>VLOOKUP($A94,'SAS Data'!$1:$1048576,MATCH(C$1,'SAS Data'!$3:$3,0),FALSE)</f>
        <v>0</v>
      </c>
      <c r="D94" s="10">
        <f>VLOOKUP($A94,'SAS Data'!$1:$1048576,MATCH(D$1,'SAS Data'!$3:$3,0),FALSE)</f>
        <v>0</v>
      </c>
      <c r="E94" s="10">
        <f t="shared" si="2"/>
        <v>0</v>
      </c>
      <c r="F94" s="11">
        <f>VLOOKUP($A94,'SAS Data'!$1:$1048576,MATCH(F$1,'SAS Data'!$3:$3,0),FALSE)</f>
        <v>0</v>
      </c>
      <c r="G94" s="12">
        <f>VLOOKUP($A94,'SAS Data'!$1:$1048576,MATCH(G$1,'SAS Data'!$3:$3,0),FALSE)</f>
        <v>0</v>
      </c>
      <c r="H94" s="12">
        <f>+Housekeeping_sample[[#This Row],[Hkpg Cph]]*Housekeeping_sample[[#This Row],[Hkpg Hrsn]]</f>
        <v>0</v>
      </c>
      <c r="I94" s="12">
        <f>VLOOKUP(Housekeeping_sample[[#This Row],[Random ID]],'Estimator data 120523'!$A:$H,8,FALSE)</f>
        <v>178277.92</v>
      </c>
      <c r="J94" s="11" t="e">
        <f>+Housekeeping_sample[[#This Row],[Costs Rate Estimator]]/Housekeeping_sample[[#This Row],[Hkpg Hrsn]]</f>
        <v>#DIV/0!</v>
      </c>
      <c r="K94" s="10">
        <f>COUNTIF('HSKG detail'!A:A,A94)</f>
        <v>10</v>
      </c>
      <c r="L94" s="13">
        <v>13.67</v>
      </c>
      <c r="M94" s="13">
        <v>18.100000000000001</v>
      </c>
      <c r="N94" s="13">
        <v>15</v>
      </c>
      <c r="O94" s="13">
        <v>15.417999999999997</v>
      </c>
      <c r="P94" s="10">
        <f>COUNTIFS('HSKG detail'!$A:$A,$A94,'HSKG detail'!$C:$C,"&lt;"&amp;N94)</f>
        <v>4</v>
      </c>
      <c r="Q94" s="10">
        <f>COUNTIFS('HSKG detail'!$A:$A,$A94,'HSKG detail'!$C:$C,"&lt;"&amp;O94)</f>
        <v>7</v>
      </c>
      <c r="R94" s="10">
        <f>COUNTIFS('HSKG detail'!$A:$A,$A94,'HSKG detail'!$C:$C,"&lt;"&amp;$AE$1)</f>
        <v>10</v>
      </c>
      <c r="S94" s="10">
        <f>COUNTIFS('HSKG detail'!$A:$A,$A94,'HSKG detail'!$C:$C,"&lt;"&amp;$AE$2)</f>
        <v>8</v>
      </c>
      <c r="T94" s="10">
        <f>COUNTIFS('HSKG detail'!$A:$A,$A94,'HSKG detail'!$C:$C,"&lt;"&amp;$AE$3)</f>
        <v>8</v>
      </c>
      <c r="U94" s="12">
        <f>+Housekeeping_sample[[#This Row],[Hkpg median]]*Housekeeping_sample[[#This Row],[Hkpg Hrsn]]</f>
        <v>0</v>
      </c>
      <c r="V94" s="12">
        <f>+Housekeeping_sample[[#This Row],[Hkpg average]]*Housekeeping_sample[[#This Row],[Hkpg Hrsn]]</f>
        <v>0</v>
      </c>
      <c r="W94" s="14">
        <f>Housekeeping_sample[[#This Row],[Est median wage cost ]]/Housekeeping_sample[[#This Row],[Costs Rate Estimator]]</f>
        <v>0</v>
      </c>
      <c r="X94" s="14">
        <f>Housekeeping_sample[[#This Row],[Est average wage cost]]/Housekeeping_sample[[#This Row],[Costs Rate Estimator]]</f>
        <v>0</v>
      </c>
      <c r="Y94" s="14">
        <f>+Housekeeping_sample[[#This Row],[Hkpg min]]/Housekeeping_sample[[#This Row],[Hkpg median]]</f>
        <v>0.91133333333333333</v>
      </c>
      <c r="Z94" s="14">
        <f>+Housekeeping_sample[[#This Row],[Hkpg max]]/Housekeeping_sample[[#This Row],[Hkpg median]]</f>
        <v>1.2066666666666668</v>
      </c>
      <c r="AA94" s="10">
        <f>VLOOKUP(A94,Summary!$1:$1048576,2,FALSE)</f>
        <v>2</v>
      </c>
    </row>
    <row r="95" spans="1:27" x14ac:dyDescent="0.55000000000000004">
      <c r="A95" s="10">
        <v>953</v>
      </c>
      <c r="B95" s="10" t="s">
        <v>54</v>
      </c>
      <c r="C95" s="10">
        <f>VLOOKUP($A95,'SAS Data'!$1:$1048576,MATCH(C$1,'SAS Data'!$3:$3,0),FALSE)</f>
        <v>2</v>
      </c>
      <c r="D95" s="10">
        <f>VLOOKUP($A95,'SAS Data'!$1:$1048576,MATCH(D$1,'SAS Data'!$3:$3,0),FALSE)</f>
        <v>0</v>
      </c>
      <c r="E95" s="10">
        <f t="shared" si="2"/>
        <v>2</v>
      </c>
      <c r="F95" s="11">
        <f>VLOOKUP($A95,'SAS Data'!$1:$1048576,MATCH(F$1,'SAS Data'!$3:$3,0),FALSE)</f>
        <v>0</v>
      </c>
      <c r="G95" s="12">
        <f>VLOOKUP($A95,'SAS Data'!$1:$1048576,MATCH(G$1,'SAS Data'!$3:$3,0),FALSE)</f>
        <v>0</v>
      </c>
      <c r="H95" s="12">
        <f>+Housekeeping_sample[[#This Row],[Hkpg Cph]]*Housekeeping_sample[[#This Row],[Hkpg Hrsn]]</f>
        <v>0</v>
      </c>
      <c r="I95" s="12">
        <f>VLOOKUP(Housekeeping_sample[[#This Row],[Random ID]],'Estimator data 120523'!$A:$H,8,FALSE)</f>
        <v>78161.489553029693</v>
      </c>
      <c r="J95" s="11" t="e">
        <f>+Housekeeping_sample[[#This Row],[Costs Rate Estimator]]/Housekeeping_sample[[#This Row],[Hkpg Hrsn]]</f>
        <v>#DIV/0!</v>
      </c>
      <c r="K95" s="10">
        <f>COUNTIF('HSKG detail'!A:A,A95)</f>
        <v>4</v>
      </c>
      <c r="L95" s="13">
        <v>15.05</v>
      </c>
      <c r="M95" s="13">
        <v>18.62</v>
      </c>
      <c r="N95" s="13">
        <v>15.440000000000001</v>
      </c>
      <c r="O95" s="13">
        <v>16.137499999999999</v>
      </c>
      <c r="P95" s="10">
        <f>COUNTIFS('HSKG detail'!$A:$A,$A95,'HSKG detail'!$C:$C,"&lt;"&amp;N95)</f>
        <v>2</v>
      </c>
      <c r="Q95" s="10">
        <f>COUNTIFS('HSKG detail'!$A:$A,$A95,'HSKG detail'!$C:$C,"&lt;"&amp;O95)</f>
        <v>3</v>
      </c>
      <c r="R95" s="10">
        <f>COUNTIFS('HSKG detail'!$A:$A,$A95,'HSKG detail'!$C:$C,"&lt;"&amp;$AE$1)</f>
        <v>4</v>
      </c>
      <c r="S95" s="10">
        <f>COUNTIFS('HSKG detail'!$A:$A,$A95,'HSKG detail'!$C:$C,"&lt;"&amp;$AE$2)</f>
        <v>3</v>
      </c>
      <c r="T95" s="10">
        <f>COUNTIFS('HSKG detail'!$A:$A,$A95,'HSKG detail'!$C:$C,"&lt;"&amp;$AE$3)</f>
        <v>3</v>
      </c>
      <c r="U95" s="12">
        <f>+Housekeeping_sample[[#This Row],[Hkpg median]]*Housekeeping_sample[[#This Row],[Hkpg Hrsn]]</f>
        <v>0</v>
      </c>
      <c r="V95" s="12">
        <f>+Housekeeping_sample[[#This Row],[Hkpg average]]*Housekeeping_sample[[#This Row],[Hkpg Hrsn]]</f>
        <v>0</v>
      </c>
      <c r="W95" s="14">
        <f>Housekeeping_sample[[#This Row],[Est median wage cost ]]/Housekeeping_sample[[#This Row],[Costs Rate Estimator]]</f>
        <v>0</v>
      </c>
      <c r="X95" s="14">
        <f>Housekeeping_sample[[#This Row],[Est average wage cost]]/Housekeeping_sample[[#This Row],[Costs Rate Estimator]]</f>
        <v>0</v>
      </c>
      <c r="Y95" s="14">
        <f>+Housekeeping_sample[[#This Row],[Hkpg min]]/Housekeeping_sample[[#This Row],[Hkpg median]]</f>
        <v>0.97474093264248696</v>
      </c>
      <c r="Z95" s="14">
        <f>+Housekeeping_sample[[#This Row],[Hkpg max]]/Housekeeping_sample[[#This Row],[Hkpg median]]</f>
        <v>1.205958549222798</v>
      </c>
      <c r="AA95" s="10">
        <f>VLOOKUP(A95,Summary!$1:$1048576,2,FALSE)</f>
        <v>3</v>
      </c>
    </row>
    <row r="96" spans="1:27" x14ac:dyDescent="0.55000000000000004">
      <c r="C96" s="10">
        <f>SUBTOTAL(109,Housekeeping_sample[Ftemphskpg])</f>
        <v>342</v>
      </c>
      <c r="D96" s="10">
        <f>SUBTOTAL(109,Housekeeping_sample[Ptemphskpg])</f>
        <v>148</v>
      </c>
      <c r="E96" s="10">
        <f>SUBTOTAL(109,Housekeeping_sample[Total employees per CR])</f>
        <v>490</v>
      </c>
      <c r="F96" s="16">
        <f>Housekeeping_sample[[#Totals],[Cost]]/Housekeeping_sample[[#Totals],[Hkpg Hrsn]]</f>
        <v>16.179491634357134</v>
      </c>
      <c r="G96" s="17">
        <f>SUBTOTAL(109,Housekeeping_sample[Hkpg Hrsn])</f>
        <v>765512</v>
      </c>
      <c r="H96" s="17">
        <f>SUBTOTAL(109,Housekeeping_sample[Cost])</f>
        <v>12385595</v>
      </c>
      <c r="I96" s="17">
        <f>SUBTOTAL(109,Housekeeping_sample[Costs Rate Estimator])</f>
        <v>14146588.813730473</v>
      </c>
      <c r="J96" s="18">
        <f>+Housekeeping_sample[[#Totals],[Costs Rate Estimator]]/Housekeeping_sample[[#Totals],[Hkpg Hrsn]]</f>
        <v>18.479904709175653</v>
      </c>
      <c r="K96" s="10">
        <f>SUBTOTAL(109,Housekeeping_sample[Hkpg count Per Data Sample])</f>
        <v>564</v>
      </c>
      <c r="L96" s="18">
        <f>SUBTOTAL(101,Housekeeping_sample[Hkpg min])</f>
        <v>15.789762986299689</v>
      </c>
      <c r="M96" s="18">
        <f>SUBTOTAL(101,Housekeeping_sample[Hkpg max])</f>
        <v>18.762209785488274</v>
      </c>
      <c r="N96" s="18">
        <f>SUBTOTAL(101,Housekeeping_sample[Hkpg median])</f>
        <v>16.908047310268749</v>
      </c>
      <c r="O96" s="18">
        <f>SUBTOTAL(101,Housekeeping_sample[Hkpg average])</f>
        <v>17.078872032953143</v>
      </c>
      <c r="P96" s="17">
        <f>SUBTOTAL(109,Housekeeping_sample[Below median])</f>
        <v>218</v>
      </c>
      <c r="Q96" s="17">
        <f>SUBTOTAL(109,Housekeeping_sample[Below Average])</f>
        <v>304</v>
      </c>
      <c r="R96" s="17">
        <f>SUBTOTAL(109,Housekeeping_sample[Below Floor])</f>
        <v>563</v>
      </c>
      <c r="S96" s="17">
        <f>SUBTOTAL(109,Housekeeping_sample[Below weighted average median wage])</f>
        <v>320</v>
      </c>
      <c r="T96" s="17">
        <f>SUBTOTAL(109,Housekeeping_sample[Below weighted average, average wage])</f>
        <v>330</v>
      </c>
      <c r="U96" s="17">
        <f>SUBTOTAL(109,Housekeeping_sample[[Est median wage cost ]])</f>
        <v>13064812.245242981</v>
      </c>
      <c r="V96" s="17">
        <f>SUBTOTAL(109,Housekeeping_sample[Est average wage cost])</f>
        <v>13198898.719633844</v>
      </c>
      <c r="W96" s="20">
        <f>+Housekeeping_sample[[#Totals],[Est median wage cost ]]/Housekeeping_sample[[#Totals],[Costs Rate Estimator]]</f>
        <v>0.92353092447010721</v>
      </c>
      <c r="X96" s="20">
        <f>+Housekeeping_sample[[#Totals],[Est average wage cost]]/Housekeeping_sample[[#Totals],[Costs Rate Estimator]]</f>
        <v>0.93300928537791283</v>
      </c>
      <c r="Y96" s="20">
        <f>+Housekeeping_sample[[#Totals],[Hkpg min]]/Housekeeping_sample[[#Totals],[Hkpg median]]</f>
        <v>0.93386082358014855</v>
      </c>
      <c r="Z96" s="20">
        <f>+Housekeeping_sample[[#Totals],[Hkpg max]]/Housekeeping_sample[[#Totals],[Hkpg median]]</f>
        <v>1.1096615381536954</v>
      </c>
      <c r="AA96" s="10" t="e">
        <f>VLOOKUP(A96,Summary!$1:$1048576,2)</f>
        <v>#N/A</v>
      </c>
    </row>
    <row r="97" spans="9:27" x14ac:dyDescent="0.55000000000000004">
      <c r="AA97" s="10" t="e">
        <f>VLOOKUP(A97,Summary!$1:$1048576,2)</f>
        <v>#N/A</v>
      </c>
    </row>
    <row r="100" spans="9:27" x14ac:dyDescent="0.55000000000000004">
      <c r="I100" s="10"/>
      <c r="J100" s="10"/>
      <c r="K100" s="10">
        <f>SUM(K2:K97)</f>
        <v>1128</v>
      </c>
      <c r="O100" s="13" t="s">
        <v>88</v>
      </c>
      <c r="P100" s="10">
        <f t="shared" ref="P100:T100" si="3">SUM(P2:P97)</f>
        <v>436</v>
      </c>
      <c r="Q100" s="10">
        <f t="shared" si="3"/>
        <v>608</v>
      </c>
      <c r="R100" s="10">
        <f t="shared" si="3"/>
        <v>1126</v>
      </c>
      <c r="S100" s="10">
        <f t="shared" si="3"/>
        <v>640</v>
      </c>
      <c r="T100" s="10">
        <f t="shared" si="3"/>
        <v>660</v>
      </c>
      <c r="U100" s="14"/>
      <c r="V100" s="14"/>
      <c r="Y100" s="10"/>
      <c r="Z100" s="10"/>
    </row>
    <row r="101" spans="9:27" x14ac:dyDescent="0.55000000000000004">
      <c r="I101" s="10"/>
      <c r="J101" s="10"/>
      <c r="K101" s="10">
        <f>SUMIF($AA$2:$AA$96,$O101,K$2:K$96)</f>
        <v>94</v>
      </c>
      <c r="O101" s="13">
        <v>1</v>
      </c>
      <c r="P101" s="10">
        <f t="shared" ref="P101:T103" si="4">SUMIF($AA$2:$AA$96,$O101,P$2:P$96)</f>
        <v>39</v>
      </c>
      <c r="Q101" s="10">
        <f t="shared" si="4"/>
        <v>54</v>
      </c>
      <c r="R101" s="10">
        <f t="shared" si="4"/>
        <v>93</v>
      </c>
      <c r="S101" s="10">
        <f t="shared" si="4"/>
        <v>46</v>
      </c>
      <c r="T101" s="10">
        <f t="shared" si="4"/>
        <v>46</v>
      </c>
      <c r="U101" s="14"/>
      <c r="V101" s="14"/>
      <c r="Y101" s="10"/>
      <c r="Z101" s="10"/>
    </row>
    <row r="102" spans="9:27" x14ac:dyDescent="0.55000000000000004">
      <c r="I102" s="10"/>
      <c r="J102" s="10"/>
      <c r="K102" s="10">
        <f>SUMIF($AA$2:$AA$96,$O102,K$2:K$96)</f>
        <v>213</v>
      </c>
      <c r="O102" s="13">
        <v>2</v>
      </c>
      <c r="P102" s="10">
        <f t="shared" si="4"/>
        <v>81</v>
      </c>
      <c r="Q102" s="10">
        <f t="shared" si="4"/>
        <v>112</v>
      </c>
      <c r="R102" s="10">
        <f t="shared" si="4"/>
        <v>213</v>
      </c>
      <c r="S102" s="10">
        <f t="shared" si="4"/>
        <v>132</v>
      </c>
      <c r="T102" s="10">
        <f t="shared" si="4"/>
        <v>134</v>
      </c>
      <c r="U102" s="14"/>
      <c r="V102" s="14"/>
      <c r="Y102" s="10"/>
      <c r="Z102" s="10"/>
    </row>
    <row r="103" spans="9:27" x14ac:dyDescent="0.55000000000000004">
      <c r="I103" s="10"/>
      <c r="J103" s="10"/>
      <c r="K103" s="10">
        <f>SUMIF($AA$2:$AA$96,$O103,K$2:K$96)</f>
        <v>257</v>
      </c>
      <c r="O103" s="13">
        <v>3</v>
      </c>
      <c r="P103" s="10">
        <f t="shared" si="4"/>
        <v>98</v>
      </c>
      <c r="Q103" s="10">
        <f t="shared" si="4"/>
        <v>138</v>
      </c>
      <c r="R103" s="10">
        <f t="shared" si="4"/>
        <v>257</v>
      </c>
      <c r="S103" s="10">
        <f t="shared" si="4"/>
        <v>142</v>
      </c>
      <c r="T103" s="10">
        <f t="shared" si="4"/>
        <v>150</v>
      </c>
      <c r="U103" s="14"/>
      <c r="V103" s="14"/>
      <c r="Y103" s="10"/>
      <c r="Z103" s="10"/>
    </row>
  </sheetData>
  <sheetProtection algorithmName="SHA-512" hashValue="J/C46Yl+RL/kzj/bWx82CbriorTnzhYOOSi7vidf/Q9iXbbhh+/cewJujTImx+n14qurVAEwgmAZbbZJs793rA==" saltValue="NDDY91Iirps48/orslkkUw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6B0E-7E3E-4CF2-B760-80E50358BE92}">
  <dimension ref="A5:C576"/>
  <sheetViews>
    <sheetView workbookViewId="0">
      <selection sqref="A1:XFD1048576"/>
    </sheetView>
  </sheetViews>
  <sheetFormatPr defaultColWidth="9.15625" defaultRowHeight="14.4" x14ac:dyDescent="0.55000000000000004"/>
  <cols>
    <col min="1" max="16384" width="9.15625" style="68"/>
  </cols>
  <sheetData>
    <row r="5" spans="1:3" x14ac:dyDescent="0.55000000000000004">
      <c r="A5" s="68">
        <v>728</v>
      </c>
      <c r="C5" s="68">
        <v>18.13</v>
      </c>
    </row>
    <row r="6" spans="1:3" x14ac:dyDescent="0.55000000000000004">
      <c r="A6" s="68">
        <v>728</v>
      </c>
      <c r="C6" s="68">
        <v>14.64</v>
      </c>
    </row>
    <row r="7" spans="1:3" x14ac:dyDescent="0.55000000000000004">
      <c r="A7" s="68">
        <v>814</v>
      </c>
      <c r="C7" s="68">
        <v>16.25</v>
      </c>
    </row>
    <row r="8" spans="1:3" x14ac:dyDescent="0.55000000000000004">
      <c r="A8" s="68">
        <v>814</v>
      </c>
      <c r="C8" s="68">
        <v>18.45</v>
      </c>
    </row>
    <row r="9" spans="1:3" x14ac:dyDescent="0.55000000000000004">
      <c r="A9" s="68">
        <v>814</v>
      </c>
      <c r="C9" s="68">
        <v>18.45</v>
      </c>
    </row>
    <row r="10" spans="1:3" x14ac:dyDescent="0.55000000000000004">
      <c r="A10" s="68">
        <v>814</v>
      </c>
      <c r="C10" s="68">
        <v>18.45</v>
      </c>
    </row>
    <row r="11" spans="1:3" x14ac:dyDescent="0.55000000000000004">
      <c r="A11" s="68">
        <v>814</v>
      </c>
      <c r="C11" s="68">
        <v>18.45</v>
      </c>
    </row>
    <row r="12" spans="1:3" x14ac:dyDescent="0.55000000000000004">
      <c r="A12" s="68">
        <v>814</v>
      </c>
      <c r="C12" s="68">
        <v>18.45</v>
      </c>
    </row>
    <row r="13" spans="1:3" x14ac:dyDescent="0.55000000000000004">
      <c r="A13" s="68">
        <v>814</v>
      </c>
      <c r="C13" s="68">
        <v>18.45</v>
      </c>
    </row>
    <row r="14" spans="1:3" x14ac:dyDescent="0.55000000000000004">
      <c r="A14" s="68">
        <v>506</v>
      </c>
      <c r="C14" s="68">
        <v>16.760000000000002</v>
      </c>
    </row>
    <row r="15" spans="1:3" x14ac:dyDescent="0.55000000000000004">
      <c r="A15" s="68">
        <v>506</v>
      </c>
      <c r="C15" s="68">
        <v>17.03</v>
      </c>
    </row>
    <row r="16" spans="1:3" x14ac:dyDescent="0.55000000000000004">
      <c r="A16" s="68">
        <v>506</v>
      </c>
      <c r="C16" s="68">
        <v>17.03</v>
      </c>
    </row>
    <row r="17" spans="1:3" x14ac:dyDescent="0.55000000000000004">
      <c r="A17" s="68">
        <v>506</v>
      </c>
      <c r="C17" s="68">
        <v>16.760000000000002</v>
      </c>
    </row>
    <row r="18" spans="1:3" x14ac:dyDescent="0.55000000000000004">
      <c r="A18" s="68">
        <v>506</v>
      </c>
      <c r="C18" s="68">
        <v>17.03</v>
      </c>
    </row>
    <row r="19" spans="1:3" x14ac:dyDescent="0.55000000000000004">
      <c r="A19" s="68">
        <v>506</v>
      </c>
      <c r="C19" s="68">
        <v>18.86</v>
      </c>
    </row>
    <row r="20" spans="1:3" x14ac:dyDescent="0.55000000000000004">
      <c r="A20" s="68">
        <v>506</v>
      </c>
      <c r="C20" s="68">
        <v>16.5</v>
      </c>
    </row>
    <row r="21" spans="1:3" x14ac:dyDescent="0.55000000000000004">
      <c r="A21" s="68">
        <v>183</v>
      </c>
      <c r="C21" s="68">
        <v>21.23</v>
      </c>
    </row>
    <row r="22" spans="1:3" x14ac:dyDescent="0.55000000000000004">
      <c r="A22" s="68">
        <v>183</v>
      </c>
      <c r="C22" s="68">
        <v>26.71</v>
      </c>
    </row>
    <row r="23" spans="1:3" x14ac:dyDescent="0.55000000000000004">
      <c r="A23" s="68">
        <v>183</v>
      </c>
      <c r="C23" s="68">
        <v>24.75</v>
      </c>
    </row>
    <row r="24" spans="1:3" x14ac:dyDescent="0.55000000000000004">
      <c r="A24" s="68">
        <v>183</v>
      </c>
      <c r="C24" s="68">
        <v>21.17</v>
      </c>
    </row>
    <row r="25" spans="1:3" x14ac:dyDescent="0.55000000000000004">
      <c r="A25" s="68">
        <v>164</v>
      </c>
      <c r="C25" s="68">
        <v>17.86</v>
      </c>
    </row>
    <row r="26" spans="1:3" x14ac:dyDescent="0.55000000000000004">
      <c r="A26" s="68">
        <v>164</v>
      </c>
      <c r="C26" s="68">
        <v>18.059999999999999</v>
      </c>
    </row>
    <row r="27" spans="1:3" x14ac:dyDescent="0.55000000000000004">
      <c r="A27" s="68">
        <v>164</v>
      </c>
      <c r="C27" s="68">
        <v>18.14</v>
      </c>
    </row>
    <row r="28" spans="1:3" x14ac:dyDescent="0.55000000000000004">
      <c r="A28" s="68">
        <v>164</v>
      </c>
      <c r="C28" s="68">
        <v>19.489999999999998</v>
      </c>
    </row>
    <row r="29" spans="1:3" x14ac:dyDescent="0.55000000000000004">
      <c r="A29" s="68">
        <v>783</v>
      </c>
      <c r="C29" s="68">
        <v>16.739999999999998</v>
      </c>
    </row>
    <row r="30" spans="1:3" x14ac:dyDescent="0.55000000000000004">
      <c r="A30" s="68">
        <v>783</v>
      </c>
      <c r="C30" s="68">
        <v>12.59</v>
      </c>
    </row>
    <row r="31" spans="1:3" x14ac:dyDescent="0.55000000000000004">
      <c r="A31" s="68">
        <v>783</v>
      </c>
      <c r="C31" s="68">
        <v>12.91</v>
      </c>
    </row>
    <row r="32" spans="1:3" x14ac:dyDescent="0.55000000000000004">
      <c r="A32" s="68">
        <v>783</v>
      </c>
      <c r="C32" s="68">
        <v>16.739999999999998</v>
      </c>
    </row>
    <row r="33" spans="1:3" x14ac:dyDescent="0.55000000000000004">
      <c r="A33" s="68">
        <v>783</v>
      </c>
      <c r="C33" s="68">
        <v>12.6</v>
      </c>
    </row>
    <row r="34" spans="1:3" x14ac:dyDescent="0.55000000000000004">
      <c r="A34" s="68">
        <v>623</v>
      </c>
      <c r="C34" s="68">
        <v>14.28</v>
      </c>
    </row>
    <row r="35" spans="1:3" x14ac:dyDescent="0.55000000000000004">
      <c r="A35" s="68">
        <v>623</v>
      </c>
      <c r="C35" s="68">
        <v>14.28</v>
      </c>
    </row>
    <row r="36" spans="1:3" x14ac:dyDescent="0.55000000000000004">
      <c r="A36" s="68">
        <v>623</v>
      </c>
      <c r="C36" s="68">
        <v>14.68</v>
      </c>
    </row>
    <row r="37" spans="1:3" x14ac:dyDescent="0.55000000000000004">
      <c r="A37" s="68">
        <v>788</v>
      </c>
      <c r="C37" s="68">
        <v>17</v>
      </c>
    </row>
    <row r="38" spans="1:3" x14ac:dyDescent="0.55000000000000004">
      <c r="A38" s="68">
        <v>421</v>
      </c>
      <c r="C38" s="68">
        <v>15.37</v>
      </c>
    </row>
    <row r="39" spans="1:3" x14ac:dyDescent="0.55000000000000004">
      <c r="A39" s="68">
        <v>421</v>
      </c>
      <c r="C39" s="68">
        <v>14.48</v>
      </c>
    </row>
    <row r="40" spans="1:3" x14ac:dyDescent="0.55000000000000004">
      <c r="A40" s="68">
        <v>421</v>
      </c>
      <c r="C40" s="68">
        <v>14.19</v>
      </c>
    </row>
    <row r="41" spans="1:3" x14ac:dyDescent="0.55000000000000004">
      <c r="A41" s="68">
        <v>421</v>
      </c>
      <c r="C41" s="68">
        <v>16.32</v>
      </c>
    </row>
    <row r="42" spans="1:3" x14ac:dyDescent="0.55000000000000004">
      <c r="A42" s="68">
        <v>421</v>
      </c>
      <c r="C42" s="68">
        <v>14.06</v>
      </c>
    </row>
    <row r="43" spans="1:3" x14ac:dyDescent="0.55000000000000004">
      <c r="A43" s="68">
        <v>421</v>
      </c>
      <c r="C43" s="68">
        <v>14.06</v>
      </c>
    </row>
    <row r="44" spans="1:3" x14ac:dyDescent="0.55000000000000004">
      <c r="A44" s="68">
        <v>636</v>
      </c>
      <c r="C44" s="68">
        <v>18.07</v>
      </c>
    </row>
    <row r="45" spans="1:3" x14ac:dyDescent="0.55000000000000004">
      <c r="A45" s="68">
        <v>636</v>
      </c>
      <c r="C45" s="68">
        <v>19.760000000000002</v>
      </c>
    </row>
    <row r="46" spans="1:3" x14ac:dyDescent="0.55000000000000004">
      <c r="A46" s="68">
        <v>776</v>
      </c>
      <c r="C46" s="68">
        <v>18</v>
      </c>
    </row>
    <row r="47" spans="1:3" x14ac:dyDescent="0.55000000000000004">
      <c r="A47" s="68">
        <v>776</v>
      </c>
      <c r="C47" s="68">
        <v>16.5</v>
      </c>
    </row>
    <row r="48" spans="1:3" x14ac:dyDescent="0.55000000000000004">
      <c r="A48" s="68">
        <v>776</v>
      </c>
      <c r="C48" s="68">
        <v>18</v>
      </c>
    </row>
    <row r="49" spans="1:3" x14ac:dyDescent="0.55000000000000004">
      <c r="A49" s="68">
        <v>776</v>
      </c>
      <c r="C49" s="68">
        <v>16.5</v>
      </c>
    </row>
    <row r="50" spans="1:3" x14ac:dyDescent="0.55000000000000004">
      <c r="A50" s="68">
        <v>776</v>
      </c>
      <c r="C50" s="68">
        <v>16</v>
      </c>
    </row>
    <row r="51" spans="1:3" x14ac:dyDescent="0.55000000000000004">
      <c r="A51" s="68">
        <v>928</v>
      </c>
      <c r="C51" s="68">
        <v>16.5</v>
      </c>
    </row>
    <row r="52" spans="1:3" x14ac:dyDescent="0.55000000000000004">
      <c r="A52" s="68">
        <v>928</v>
      </c>
      <c r="C52" s="68">
        <v>15</v>
      </c>
    </row>
    <row r="53" spans="1:3" x14ac:dyDescent="0.55000000000000004">
      <c r="A53" s="68">
        <v>928</v>
      </c>
      <c r="C53" s="68">
        <v>15</v>
      </c>
    </row>
    <row r="54" spans="1:3" x14ac:dyDescent="0.55000000000000004">
      <c r="A54" s="68">
        <v>928</v>
      </c>
      <c r="C54" s="68">
        <v>15</v>
      </c>
    </row>
    <row r="55" spans="1:3" x14ac:dyDescent="0.55000000000000004">
      <c r="A55" s="68">
        <v>928</v>
      </c>
      <c r="C55" s="68">
        <v>15</v>
      </c>
    </row>
    <row r="56" spans="1:3" x14ac:dyDescent="0.55000000000000004">
      <c r="A56" s="68">
        <v>928</v>
      </c>
      <c r="C56" s="68">
        <v>14</v>
      </c>
    </row>
    <row r="57" spans="1:3" x14ac:dyDescent="0.55000000000000004">
      <c r="A57" s="68">
        <v>766</v>
      </c>
      <c r="C57" s="68">
        <v>16.420000000000002</v>
      </c>
    </row>
    <row r="58" spans="1:3" x14ac:dyDescent="0.55000000000000004">
      <c r="A58" s="68">
        <v>766</v>
      </c>
      <c r="C58" s="68">
        <v>19.829999999999998</v>
      </c>
    </row>
    <row r="59" spans="1:3" x14ac:dyDescent="0.55000000000000004">
      <c r="A59" s="68">
        <v>766</v>
      </c>
      <c r="C59" s="68">
        <v>17.149999999999999</v>
      </c>
    </row>
    <row r="60" spans="1:3" x14ac:dyDescent="0.55000000000000004">
      <c r="A60" s="68">
        <v>766</v>
      </c>
      <c r="C60" s="68">
        <v>21.44</v>
      </c>
    </row>
    <row r="61" spans="1:3" x14ac:dyDescent="0.55000000000000004">
      <c r="A61" s="68">
        <v>114</v>
      </c>
      <c r="C61" s="68">
        <v>16.420122312563265</v>
      </c>
    </row>
    <row r="62" spans="1:3" x14ac:dyDescent="0.55000000000000004">
      <c r="A62" s="68">
        <v>114</v>
      </c>
      <c r="C62" s="68">
        <v>15.399999999999988</v>
      </c>
    </row>
    <row r="63" spans="1:3" x14ac:dyDescent="0.55000000000000004">
      <c r="A63" s="68">
        <v>542</v>
      </c>
      <c r="C63" s="68">
        <v>16.309999999999999</v>
      </c>
    </row>
    <row r="64" spans="1:3" x14ac:dyDescent="0.55000000000000004">
      <c r="A64" s="68">
        <v>542</v>
      </c>
      <c r="C64" s="68">
        <v>17.100000000000001</v>
      </c>
    </row>
    <row r="65" spans="1:3" x14ac:dyDescent="0.55000000000000004">
      <c r="A65" s="68">
        <v>542</v>
      </c>
      <c r="C65" s="68">
        <v>18.190000000000001</v>
      </c>
    </row>
    <row r="66" spans="1:3" x14ac:dyDescent="0.55000000000000004">
      <c r="A66" s="68">
        <v>542</v>
      </c>
      <c r="C66" s="68">
        <v>18.57</v>
      </c>
    </row>
    <row r="67" spans="1:3" x14ac:dyDescent="0.55000000000000004">
      <c r="A67" s="68">
        <v>542</v>
      </c>
      <c r="C67" s="68">
        <v>20.58</v>
      </c>
    </row>
    <row r="68" spans="1:3" x14ac:dyDescent="0.55000000000000004">
      <c r="A68" s="68">
        <v>542</v>
      </c>
      <c r="C68" s="68">
        <v>21.02</v>
      </c>
    </row>
    <row r="69" spans="1:3" x14ac:dyDescent="0.55000000000000004">
      <c r="A69" s="68">
        <v>542</v>
      </c>
      <c r="C69" s="68">
        <v>21.88</v>
      </c>
    </row>
    <row r="70" spans="1:3" x14ac:dyDescent="0.55000000000000004">
      <c r="A70" s="68">
        <v>572</v>
      </c>
      <c r="C70" s="68">
        <v>15</v>
      </c>
    </row>
    <row r="71" spans="1:3" x14ac:dyDescent="0.55000000000000004">
      <c r="A71" s="68">
        <v>572</v>
      </c>
      <c r="C71" s="68">
        <v>15.61</v>
      </c>
    </row>
    <row r="72" spans="1:3" x14ac:dyDescent="0.55000000000000004">
      <c r="A72" s="68">
        <v>572</v>
      </c>
      <c r="C72" s="68">
        <v>15.61</v>
      </c>
    </row>
    <row r="73" spans="1:3" x14ac:dyDescent="0.55000000000000004">
      <c r="A73" s="68">
        <v>572</v>
      </c>
      <c r="C73" s="68">
        <v>15.61</v>
      </c>
    </row>
    <row r="74" spans="1:3" x14ac:dyDescent="0.55000000000000004">
      <c r="A74" s="68">
        <v>346</v>
      </c>
      <c r="C74" s="68">
        <v>17.5</v>
      </c>
    </row>
    <row r="75" spans="1:3" x14ac:dyDescent="0.55000000000000004">
      <c r="A75" s="68">
        <v>738</v>
      </c>
      <c r="C75" s="68">
        <v>13.26</v>
      </c>
    </row>
    <row r="76" spans="1:3" x14ac:dyDescent="0.55000000000000004">
      <c r="A76" s="68">
        <v>738</v>
      </c>
      <c r="C76" s="68">
        <v>15.75</v>
      </c>
    </row>
    <row r="77" spans="1:3" x14ac:dyDescent="0.55000000000000004">
      <c r="A77" s="68">
        <v>205</v>
      </c>
      <c r="C77" s="68">
        <v>17</v>
      </c>
    </row>
    <row r="78" spans="1:3" x14ac:dyDescent="0.55000000000000004">
      <c r="A78" s="68">
        <v>205</v>
      </c>
      <c r="C78" s="68">
        <v>17</v>
      </c>
    </row>
    <row r="79" spans="1:3" x14ac:dyDescent="0.55000000000000004">
      <c r="A79" s="68">
        <v>205</v>
      </c>
      <c r="C79" s="68">
        <v>15.5</v>
      </c>
    </row>
    <row r="80" spans="1:3" x14ac:dyDescent="0.55000000000000004">
      <c r="A80" s="68">
        <v>205</v>
      </c>
      <c r="C80" s="68">
        <v>15.61</v>
      </c>
    </row>
    <row r="81" spans="1:3" x14ac:dyDescent="0.55000000000000004">
      <c r="A81" s="68">
        <v>205</v>
      </c>
      <c r="C81" s="68">
        <v>15.5</v>
      </c>
    </row>
    <row r="82" spans="1:3" x14ac:dyDescent="0.55000000000000004">
      <c r="A82" s="68">
        <v>205</v>
      </c>
      <c r="C82" s="68">
        <v>17</v>
      </c>
    </row>
    <row r="83" spans="1:3" x14ac:dyDescent="0.55000000000000004">
      <c r="A83" s="68">
        <v>205</v>
      </c>
      <c r="C83" s="68">
        <v>17</v>
      </c>
    </row>
    <row r="84" spans="1:3" x14ac:dyDescent="0.55000000000000004">
      <c r="A84" s="68">
        <v>801</v>
      </c>
      <c r="C84" s="68">
        <v>17</v>
      </c>
    </row>
    <row r="85" spans="1:3" x14ac:dyDescent="0.55000000000000004">
      <c r="A85" s="68">
        <v>801</v>
      </c>
      <c r="C85" s="68">
        <v>13</v>
      </c>
    </row>
    <row r="86" spans="1:3" x14ac:dyDescent="0.55000000000000004">
      <c r="A86" s="68">
        <v>203</v>
      </c>
      <c r="C86" s="68">
        <v>15.48</v>
      </c>
    </row>
    <row r="87" spans="1:3" x14ac:dyDescent="0.55000000000000004">
      <c r="A87" s="68">
        <v>203</v>
      </c>
      <c r="C87" s="68">
        <v>15.14</v>
      </c>
    </row>
    <row r="88" spans="1:3" x14ac:dyDescent="0.55000000000000004">
      <c r="A88" s="68">
        <v>206</v>
      </c>
      <c r="C88" s="68">
        <v>17.170000000000002</v>
      </c>
    </row>
    <row r="89" spans="1:3" x14ac:dyDescent="0.55000000000000004">
      <c r="A89" s="68">
        <v>206</v>
      </c>
      <c r="C89" s="68">
        <v>16.82</v>
      </c>
    </row>
    <row r="90" spans="1:3" x14ac:dyDescent="0.55000000000000004">
      <c r="A90" s="68">
        <v>206</v>
      </c>
      <c r="C90" s="68">
        <v>14.9</v>
      </c>
    </row>
    <row r="91" spans="1:3" x14ac:dyDescent="0.55000000000000004">
      <c r="A91" s="68">
        <v>206</v>
      </c>
      <c r="C91" s="68">
        <v>20</v>
      </c>
    </row>
    <row r="92" spans="1:3" x14ac:dyDescent="0.55000000000000004">
      <c r="A92" s="68">
        <v>206</v>
      </c>
      <c r="C92" s="68">
        <v>16.95</v>
      </c>
    </row>
    <row r="93" spans="1:3" x14ac:dyDescent="0.55000000000000004">
      <c r="A93" s="68">
        <v>206</v>
      </c>
      <c r="C93" s="68">
        <v>16.82</v>
      </c>
    </row>
    <row r="94" spans="1:3" x14ac:dyDescent="0.55000000000000004">
      <c r="A94" s="68">
        <v>206</v>
      </c>
      <c r="C94" s="68">
        <v>14.65</v>
      </c>
    </row>
    <row r="95" spans="1:3" x14ac:dyDescent="0.55000000000000004">
      <c r="A95" s="68">
        <v>423</v>
      </c>
      <c r="C95" s="68">
        <v>14.75</v>
      </c>
    </row>
    <row r="96" spans="1:3" x14ac:dyDescent="0.55000000000000004">
      <c r="A96" s="68">
        <v>423</v>
      </c>
      <c r="C96" s="68">
        <v>14</v>
      </c>
    </row>
    <row r="97" spans="1:3" x14ac:dyDescent="0.55000000000000004">
      <c r="A97" s="68">
        <v>423</v>
      </c>
      <c r="C97" s="68">
        <v>14.5</v>
      </c>
    </row>
    <row r="98" spans="1:3" x14ac:dyDescent="0.55000000000000004">
      <c r="A98" s="68">
        <v>423</v>
      </c>
      <c r="C98" s="68">
        <v>14</v>
      </c>
    </row>
    <row r="99" spans="1:3" x14ac:dyDescent="0.55000000000000004">
      <c r="A99" s="68">
        <v>423</v>
      </c>
      <c r="C99" s="68">
        <v>14</v>
      </c>
    </row>
    <row r="100" spans="1:3" x14ac:dyDescent="0.55000000000000004">
      <c r="A100" s="68">
        <v>423</v>
      </c>
      <c r="C100" s="68">
        <v>14</v>
      </c>
    </row>
    <row r="101" spans="1:3" x14ac:dyDescent="0.55000000000000004">
      <c r="A101" s="68">
        <v>423</v>
      </c>
      <c r="C101" s="68">
        <v>14</v>
      </c>
    </row>
    <row r="102" spans="1:3" x14ac:dyDescent="0.55000000000000004">
      <c r="A102" s="68">
        <v>316</v>
      </c>
      <c r="C102" s="68">
        <v>17</v>
      </c>
    </row>
    <row r="103" spans="1:3" x14ac:dyDescent="0.55000000000000004">
      <c r="A103" s="68">
        <v>316</v>
      </c>
      <c r="C103" s="68">
        <v>17</v>
      </c>
    </row>
    <row r="104" spans="1:3" x14ac:dyDescent="0.55000000000000004">
      <c r="A104" s="68">
        <v>316</v>
      </c>
      <c r="C104" s="68">
        <v>19</v>
      </c>
    </row>
    <row r="105" spans="1:3" x14ac:dyDescent="0.55000000000000004">
      <c r="A105" s="68">
        <v>316</v>
      </c>
      <c r="C105" s="68">
        <v>20</v>
      </c>
    </row>
    <row r="106" spans="1:3" x14ac:dyDescent="0.55000000000000004">
      <c r="A106" s="68">
        <v>316</v>
      </c>
      <c r="C106" s="68">
        <v>18.54</v>
      </c>
    </row>
    <row r="107" spans="1:3" x14ac:dyDescent="0.55000000000000004">
      <c r="A107" s="68">
        <v>380</v>
      </c>
      <c r="C107" s="68">
        <v>18.89</v>
      </c>
    </row>
    <row r="108" spans="1:3" x14ac:dyDescent="0.55000000000000004">
      <c r="A108" s="68">
        <v>380</v>
      </c>
      <c r="C108" s="68">
        <v>19.41</v>
      </c>
    </row>
    <row r="109" spans="1:3" x14ac:dyDescent="0.55000000000000004">
      <c r="A109" s="68">
        <v>380</v>
      </c>
      <c r="C109" s="68">
        <v>21.87</v>
      </c>
    </row>
    <row r="110" spans="1:3" x14ac:dyDescent="0.55000000000000004">
      <c r="A110" s="68">
        <v>380</v>
      </c>
      <c r="C110" s="68">
        <v>20.34</v>
      </c>
    </row>
    <row r="111" spans="1:3" x14ac:dyDescent="0.55000000000000004">
      <c r="A111" s="68">
        <v>380</v>
      </c>
      <c r="C111" s="68">
        <v>18.89</v>
      </c>
    </row>
    <row r="112" spans="1:3" x14ac:dyDescent="0.55000000000000004">
      <c r="A112" s="68">
        <v>380</v>
      </c>
      <c r="C112" s="68">
        <v>21.87</v>
      </c>
    </row>
    <row r="113" spans="1:3" x14ac:dyDescent="0.55000000000000004">
      <c r="A113" s="68">
        <v>380</v>
      </c>
      <c r="C113" s="68">
        <v>21.87</v>
      </c>
    </row>
    <row r="114" spans="1:3" x14ac:dyDescent="0.55000000000000004">
      <c r="A114" s="68">
        <v>380</v>
      </c>
      <c r="C114" s="68">
        <v>21.87</v>
      </c>
    </row>
    <row r="115" spans="1:3" x14ac:dyDescent="0.55000000000000004">
      <c r="A115" s="68">
        <v>380</v>
      </c>
      <c r="C115" s="68">
        <v>21.87</v>
      </c>
    </row>
    <row r="116" spans="1:3" x14ac:dyDescent="0.55000000000000004">
      <c r="A116" s="68">
        <v>380</v>
      </c>
      <c r="C116" s="68">
        <v>20.560000000000002</v>
      </c>
    </row>
    <row r="117" spans="1:3" x14ac:dyDescent="0.55000000000000004">
      <c r="A117" s="68">
        <v>861</v>
      </c>
      <c r="C117" s="68">
        <v>17</v>
      </c>
    </row>
    <row r="118" spans="1:3" x14ac:dyDescent="0.55000000000000004">
      <c r="A118" s="68">
        <v>861</v>
      </c>
      <c r="C118" s="68">
        <v>17</v>
      </c>
    </row>
    <row r="119" spans="1:3" x14ac:dyDescent="0.55000000000000004">
      <c r="A119" s="68">
        <v>861</v>
      </c>
      <c r="C119" s="68">
        <v>17</v>
      </c>
    </row>
    <row r="120" spans="1:3" x14ac:dyDescent="0.55000000000000004">
      <c r="A120" s="68">
        <v>861</v>
      </c>
      <c r="C120" s="68">
        <v>17.18</v>
      </c>
    </row>
    <row r="121" spans="1:3" x14ac:dyDescent="0.55000000000000004">
      <c r="A121" s="68">
        <v>861</v>
      </c>
      <c r="C121" s="68">
        <v>17.41</v>
      </c>
    </row>
    <row r="122" spans="1:3" x14ac:dyDescent="0.55000000000000004">
      <c r="A122" s="68">
        <v>861</v>
      </c>
      <c r="C122" s="68">
        <v>18.239999999999998</v>
      </c>
    </row>
    <row r="123" spans="1:3" x14ac:dyDescent="0.55000000000000004">
      <c r="A123" s="68">
        <v>861</v>
      </c>
      <c r="C123" s="68">
        <v>18.239999999999998</v>
      </c>
    </row>
    <row r="124" spans="1:3" x14ac:dyDescent="0.55000000000000004">
      <c r="A124" s="68">
        <v>861</v>
      </c>
      <c r="C124" s="68">
        <v>18.239999999999998</v>
      </c>
    </row>
    <row r="125" spans="1:3" x14ac:dyDescent="0.55000000000000004">
      <c r="A125" s="68">
        <v>145</v>
      </c>
      <c r="C125" s="68">
        <v>17</v>
      </c>
    </row>
    <row r="126" spans="1:3" x14ac:dyDescent="0.55000000000000004">
      <c r="A126" s="68">
        <v>145</v>
      </c>
      <c r="C126" s="68">
        <v>17</v>
      </c>
    </row>
    <row r="127" spans="1:3" x14ac:dyDescent="0.55000000000000004">
      <c r="A127" s="68">
        <v>145</v>
      </c>
      <c r="C127" s="68">
        <v>17</v>
      </c>
    </row>
    <row r="128" spans="1:3" x14ac:dyDescent="0.55000000000000004">
      <c r="A128" s="68">
        <v>145</v>
      </c>
      <c r="C128" s="68">
        <v>17</v>
      </c>
    </row>
    <row r="129" spans="1:3" x14ac:dyDescent="0.55000000000000004">
      <c r="A129" s="68">
        <v>145</v>
      </c>
      <c r="C129" s="68">
        <v>17.510000000000002</v>
      </c>
    </row>
    <row r="130" spans="1:3" x14ac:dyDescent="0.55000000000000004">
      <c r="A130" s="68">
        <v>145</v>
      </c>
      <c r="C130" s="68">
        <v>17.64</v>
      </c>
    </row>
    <row r="131" spans="1:3" x14ac:dyDescent="0.55000000000000004">
      <c r="A131" s="68">
        <v>145</v>
      </c>
      <c r="C131" s="68">
        <v>18.75</v>
      </c>
    </row>
    <row r="132" spans="1:3" x14ac:dyDescent="0.55000000000000004">
      <c r="A132" s="68">
        <v>145</v>
      </c>
      <c r="C132" s="68">
        <v>20</v>
      </c>
    </row>
    <row r="133" spans="1:3" x14ac:dyDescent="0.55000000000000004">
      <c r="A133" s="68">
        <v>234</v>
      </c>
      <c r="C133" s="68">
        <v>15</v>
      </c>
    </row>
    <row r="134" spans="1:3" x14ac:dyDescent="0.55000000000000004">
      <c r="A134" s="68">
        <v>234</v>
      </c>
      <c r="C134" s="68">
        <v>15.75</v>
      </c>
    </row>
    <row r="135" spans="1:3" x14ac:dyDescent="0.55000000000000004">
      <c r="A135" s="68">
        <v>234</v>
      </c>
      <c r="C135" s="68">
        <v>15.75</v>
      </c>
    </row>
    <row r="136" spans="1:3" x14ac:dyDescent="0.55000000000000004">
      <c r="A136" s="68">
        <v>234</v>
      </c>
      <c r="C136" s="68">
        <v>16</v>
      </c>
    </row>
    <row r="137" spans="1:3" x14ac:dyDescent="0.55000000000000004">
      <c r="A137" s="68">
        <v>234</v>
      </c>
      <c r="C137" s="68">
        <v>16</v>
      </c>
    </row>
    <row r="138" spans="1:3" x14ac:dyDescent="0.55000000000000004">
      <c r="A138" s="68">
        <v>234</v>
      </c>
      <c r="C138" s="68">
        <v>16</v>
      </c>
    </row>
    <row r="139" spans="1:3" x14ac:dyDescent="0.55000000000000004">
      <c r="A139" s="68">
        <v>234</v>
      </c>
      <c r="C139" s="68">
        <v>16.25</v>
      </c>
    </row>
    <row r="140" spans="1:3" x14ac:dyDescent="0.55000000000000004">
      <c r="A140" s="68">
        <v>234</v>
      </c>
      <c r="C140" s="68">
        <v>17</v>
      </c>
    </row>
    <row r="141" spans="1:3" x14ac:dyDescent="0.55000000000000004">
      <c r="A141" s="68">
        <v>234</v>
      </c>
      <c r="C141" s="68">
        <v>17.5</v>
      </c>
    </row>
    <row r="142" spans="1:3" x14ac:dyDescent="0.55000000000000004">
      <c r="A142" s="68">
        <v>560</v>
      </c>
      <c r="C142" s="68">
        <v>17.510000000000002</v>
      </c>
    </row>
    <row r="143" spans="1:3" x14ac:dyDescent="0.55000000000000004">
      <c r="A143" s="68">
        <v>560</v>
      </c>
      <c r="C143" s="68">
        <v>17.899999999999999</v>
      </c>
    </row>
    <row r="144" spans="1:3" x14ac:dyDescent="0.55000000000000004">
      <c r="A144" s="68">
        <v>752</v>
      </c>
      <c r="C144" s="68">
        <v>21.17</v>
      </c>
    </row>
    <row r="145" spans="1:3" x14ac:dyDescent="0.55000000000000004">
      <c r="A145" s="68">
        <v>752</v>
      </c>
      <c r="C145" s="68">
        <v>16.23</v>
      </c>
    </row>
    <row r="146" spans="1:3" x14ac:dyDescent="0.55000000000000004">
      <c r="A146" s="68">
        <v>218</v>
      </c>
      <c r="C146" s="68">
        <v>17</v>
      </c>
    </row>
    <row r="147" spans="1:3" x14ac:dyDescent="0.55000000000000004">
      <c r="A147" s="68">
        <v>218</v>
      </c>
      <c r="C147" s="68">
        <v>18</v>
      </c>
    </row>
    <row r="148" spans="1:3" x14ac:dyDescent="0.55000000000000004">
      <c r="A148" s="68">
        <v>218</v>
      </c>
      <c r="C148" s="68">
        <v>18</v>
      </c>
    </row>
    <row r="149" spans="1:3" x14ac:dyDescent="0.55000000000000004">
      <c r="A149" s="68">
        <v>218</v>
      </c>
      <c r="C149" s="68">
        <v>18</v>
      </c>
    </row>
    <row r="150" spans="1:3" x14ac:dyDescent="0.55000000000000004">
      <c r="A150" s="68">
        <v>218</v>
      </c>
      <c r="C150" s="68">
        <v>17</v>
      </c>
    </row>
    <row r="151" spans="1:3" x14ac:dyDescent="0.55000000000000004">
      <c r="A151" s="68">
        <v>218</v>
      </c>
      <c r="C151" s="68">
        <v>17</v>
      </c>
    </row>
    <row r="152" spans="1:3" x14ac:dyDescent="0.55000000000000004">
      <c r="A152" s="68">
        <v>218</v>
      </c>
      <c r="C152" s="68">
        <v>17</v>
      </c>
    </row>
    <row r="153" spans="1:3" x14ac:dyDescent="0.55000000000000004">
      <c r="A153" s="68">
        <v>218</v>
      </c>
      <c r="C153" s="68">
        <v>18</v>
      </c>
    </row>
    <row r="154" spans="1:3" x14ac:dyDescent="0.55000000000000004">
      <c r="A154" s="68">
        <v>218</v>
      </c>
      <c r="C154" s="68">
        <v>19</v>
      </c>
    </row>
    <row r="155" spans="1:3" x14ac:dyDescent="0.55000000000000004">
      <c r="A155" s="68">
        <v>218</v>
      </c>
      <c r="C155" s="68">
        <v>17</v>
      </c>
    </row>
    <row r="156" spans="1:3" x14ac:dyDescent="0.55000000000000004">
      <c r="A156" s="68">
        <v>218</v>
      </c>
      <c r="C156" s="68">
        <v>17</v>
      </c>
    </row>
    <row r="157" spans="1:3" x14ac:dyDescent="0.55000000000000004">
      <c r="A157" s="68">
        <v>486</v>
      </c>
      <c r="C157" s="68">
        <v>17.940000000000001</v>
      </c>
    </row>
    <row r="158" spans="1:3" x14ac:dyDescent="0.55000000000000004">
      <c r="A158" s="68">
        <v>486</v>
      </c>
      <c r="C158" s="68">
        <v>17.95</v>
      </c>
    </row>
    <row r="159" spans="1:3" x14ac:dyDescent="0.55000000000000004">
      <c r="A159" s="68">
        <v>313</v>
      </c>
      <c r="C159" s="68">
        <v>15.94</v>
      </c>
    </row>
    <row r="160" spans="1:3" x14ac:dyDescent="0.55000000000000004">
      <c r="A160" s="68">
        <v>313</v>
      </c>
      <c r="C160" s="68">
        <v>16.981200000000001</v>
      </c>
    </row>
    <row r="161" spans="1:3" x14ac:dyDescent="0.55000000000000004">
      <c r="A161" s="68">
        <v>313</v>
      </c>
      <c r="C161" s="68">
        <v>17.38</v>
      </c>
    </row>
    <row r="162" spans="1:3" x14ac:dyDescent="0.55000000000000004">
      <c r="A162" s="68">
        <v>313</v>
      </c>
      <c r="C162" s="68">
        <v>17.38</v>
      </c>
    </row>
    <row r="163" spans="1:3" x14ac:dyDescent="0.55000000000000004">
      <c r="A163" s="68">
        <v>828</v>
      </c>
      <c r="C163" s="68">
        <v>14.05</v>
      </c>
    </row>
    <row r="164" spans="1:3" x14ac:dyDescent="0.55000000000000004">
      <c r="A164" s="68">
        <v>828</v>
      </c>
      <c r="C164" s="68">
        <v>15</v>
      </c>
    </row>
    <row r="165" spans="1:3" x14ac:dyDescent="0.55000000000000004">
      <c r="A165" s="68">
        <v>828</v>
      </c>
      <c r="C165" s="68">
        <v>15.24</v>
      </c>
    </row>
    <row r="166" spans="1:3" x14ac:dyDescent="0.55000000000000004">
      <c r="A166" s="68">
        <v>828</v>
      </c>
      <c r="C166" s="68">
        <v>15.54</v>
      </c>
    </row>
    <row r="167" spans="1:3" x14ac:dyDescent="0.55000000000000004">
      <c r="A167" s="68">
        <v>828</v>
      </c>
      <c r="C167" s="68">
        <v>16.989999999999998</v>
      </c>
    </row>
    <row r="168" spans="1:3" x14ac:dyDescent="0.55000000000000004">
      <c r="A168" s="68">
        <v>828</v>
      </c>
      <c r="C168" s="68">
        <v>18.420000000000002</v>
      </c>
    </row>
    <row r="169" spans="1:3" x14ac:dyDescent="0.55000000000000004">
      <c r="A169" s="68">
        <v>828</v>
      </c>
      <c r="C169" s="68">
        <v>13.38</v>
      </c>
    </row>
    <row r="170" spans="1:3" x14ac:dyDescent="0.55000000000000004">
      <c r="A170" s="68">
        <v>828</v>
      </c>
      <c r="C170" s="68">
        <v>17.420000000000002</v>
      </c>
    </row>
    <row r="171" spans="1:3" x14ac:dyDescent="0.55000000000000004">
      <c r="A171" s="68">
        <v>828</v>
      </c>
      <c r="C171" s="68">
        <v>17.420000000000002</v>
      </c>
    </row>
    <row r="172" spans="1:3" x14ac:dyDescent="0.55000000000000004">
      <c r="A172" s="68">
        <v>828</v>
      </c>
      <c r="C172" s="68">
        <v>18.989999999999998</v>
      </c>
    </row>
    <row r="173" spans="1:3" x14ac:dyDescent="0.55000000000000004">
      <c r="A173" s="68">
        <v>178</v>
      </c>
      <c r="C173" s="68">
        <v>18.100000000000001</v>
      </c>
    </row>
    <row r="174" spans="1:3" x14ac:dyDescent="0.55000000000000004">
      <c r="A174" s="68">
        <v>178</v>
      </c>
      <c r="C174" s="68">
        <v>17.29</v>
      </c>
    </row>
    <row r="175" spans="1:3" x14ac:dyDescent="0.55000000000000004">
      <c r="A175" s="68">
        <v>178</v>
      </c>
      <c r="C175" s="68">
        <v>16.2</v>
      </c>
    </row>
    <row r="176" spans="1:3" x14ac:dyDescent="0.55000000000000004">
      <c r="A176" s="68">
        <v>178</v>
      </c>
      <c r="C176" s="68">
        <v>17.29</v>
      </c>
    </row>
    <row r="177" spans="1:3" x14ac:dyDescent="0.55000000000000004">
      <c r="A177" s="68">
        <v>543</v>
      </c>
      <c r="C177" s="68">
        <v>15.27</v>
      </c>
    </row>
    <row r="178" spans="1:3" x14ac:dyDescent="0.55000000000000004">
      <c r="A178" s="68">
        <v>543</v>
      </c>
      <c r="C178" s="68">
        <v>13.77</v>
      </c>
    </row>
    <row r="179" spans="1:3" x14ac:dyDescent="0.55000000000000004">
      <c r="A179" s="68">
        <v>826</v>
      </c>
      <c r="C179" s="68">
        <v>15.19</v>
      </c>
    </row>
    <row r="180" spans="1:3" x14ac:dyDescent="0.55000000000000004">
      <c r="A180" s="68">
        <v>826</v>
      </c>
      <c r="C180" s="68">
        <v>15.5</v>
      </c>
    </row>
    <row r="181" spans="1:3" x14ac:dyDescent="0.55000000000000004">
      <c r="A181" s="68">
        <v>826</v>
      </c>
      <c r="C181" s="68">
        <v>15.5</v>
      </c>
    </row>
    <row r="182" spans="1:3" x14ac:dyDescent="0.55000000000000004">
      <c r="A182" s="68">
        <v>826</v>
      </c>
      <c r="C182" s="68">
        <v>16.09</v>
      </c>
    </row>
    <row r="183" spans="1:3" x14ac:dyDescent="0.55000000000000004">
      <c r="A183" s="68">
        <v>277</v>
      </c>
      <c r="C183" s="68">
        <v>15.95</v>
      </c>
    </row>
    <row r="184" spans="1:3" x14ac:dyDescent="0.55000000000000004">
      <c r="A184" s="68">
        <v>277</v>
      </c>
      <c r="C184" s="68">
        <v>22.0182</v>
      </c>
    </row>
    <row r="185" spans="1:3" x14ac:dyDescent="0.55000000000000004">
      <c r="A185" s="68">
        <v>555</v>
      </c>
      <c r="C185" s="68">
        <v>17.510000000000002</v>
      </c>
    </row>
    <row r="186" spans="1:3" x14ac:dyDescent="0.55000000000000004">
      <c r="A186" s="68">
        <v>555</v>
      </c>
      <c r="C186" s="68">
        <v>20.09</v>
      </c>
    </row>
    <row r="187" spans="1:3" x14ac:dyDescent="0.55000000000000004">
      <c r="A187" s="68">
        <v>555</v>
      </c>
      <c r="C187" s="68">
        <v>18.47</v>
      </c>
    </row>
    <row r="188" spans="1:3" x14ac:dyDescent="0.55000000000000004">
      <c r="A188" s="68">
        <v>351</v>
      </c>
      <c r="C188" s="68">
        <v>18.98</v>
      </c>
    </row>
    <row r="189" spans="1:3" x14ac:dyDescent="0.55000000000000004">
      <c r="A189" s="68">
        <v>351</v>
      </c>
      <c r="C189" s="68">
        <v>18.61</v>
      </c>
    </row>
    <row r="190" spans="1:3" x14ac:dyDescent="0.55000000000000004">
      <c r="A190" s="68">
        <v>351</v>
      </c>
      <c r="C190" s="68">
        <v>18.420000000000002</v>
      </c>
    </row>
    <row r="191" spans="1:3" x14ac:dyDescent="0.55000000000000004">
      <c r="A191" s="68">
        <v>351</v>
      </c>
      <c r="C191" s="68">
        <v>18.239999999999998</v>
      </c>
    </row>
    <row r="192" spans="1:3" x14ac:dyDescent="0.55000000000000004">
      <c r="A192" s="68">
        <v>351</v>
      </c>
      <c r="C192" s="68">
        <v>17.54</v>
      </c>
    </row>
    <row r="193" spans="1:3" x14ac:dyDescent="0.55000000000000004">
      <c r="A193" s="68">
        <v>351</v>
      </c>
      <c r="C193" s="68">
        <v>16.190000000000001</v>
      </c>
    </row>
    <row r="194" spans="1:3" x14ac:dyDescent="0.55000000000000004">
      <c r="A194" s="68">
        <v>351</v>
      </c>
      <c r="C194" s="68">
        <v>15.27</v>
      </c>
    </row>
    <row r="195" spans="1:3" x14ac:dyDescent="0.55000000000000004">
      <c r="A195" s="68">
        <v>997</v>
      </c>
      <c r="C195" s="68">
        <v>15.75404</v>
      </c>
    </row>
    <row r="196" spans="1:3" x14ac:dyDescent="0.55000000000000004">
      <c r="A196" s="68">
        <v>997</v>
      </c>
      <c r="C196" s="68">
        <v>15.66404</v>
      </c>
    </row>
    <row r="197" spans="1:3" x14ac:dyDescent="0.55000000000000004">
      <c r="A197" s="68">
        <v>997</v>
      </c>
      <c r="C197" s="68">
        <v>16.784040000000001</v>
      </c>
    </row>
    <row r="198" spans="1:3" x14ac:dyDescent="0.55000000000000004">
      <c r="A198" s="68">
        <v>385</v>
      </c>
      <c r="C198" s="68">
        <v>17.77</v>
      </c>
    </row>
    <row r="199" spans="1:3" x14ac:dyDescent="0.55000000000000004">
      <c r="A199" s="68">
        <v>385</v>
      </c>
      <c r="C199" s="68">
        <v>16</v>
      </c>
    </row>
    <row r="200" spans="1:3" x14ac:dyDescent="0.55000000000000004">
      <c r="A200" s="68">
        <v>385</v>
      </c>
      <c r="C200" s="68">
        <v>16.5</v>
      </c>
    </row>
    <row r="201" spans="1:3" x14ac:dyDescent="0.55000000000000004">
      <c r="A201" s="68">
        <v>385</v>
      </c>
      <c r="C201" s="68">
        <v>17.510000000000002</v>
      </c>
    </row>
    <row r="202" spans="1:3" x14ac:dyDescent="0.55000000000000004">
      <c r="A202" s="68">
        <v>222</v>
      </c>
      <c r="C202" s="68">
        <v>13.76</v>
      </c>
    </row>
    <row r="203" spans="1:3" x14ac:dyDescent="0.55000000000000004">
      <c r="A203" s="68">
        <v>222</v>
      </c>
      <c r="C203" s="68">
        <v>13.73</v>
      </c>
    </row>
    <row r="204" spans="1:3" x14ac:dyDescent="0.55000000000000004">
      <c r="A204" s="68">
        <v>558</v>
      </c>
      <c r="C204" s="68">
        <v>17.75</v>
      </c>
    </row>
    <row r="205" spans="1:3" x14ac:dyDescent="0.55000000000000004">
      <c r="A205" s="68">
        <v>558</v>
      </c>
      <c r="C205" s="68">
        <v>20.75</v>
      </c>
    </row>
    <row r="206" spans="1:3" x14ac:dyDescent="0.55000000000000004">
      <c r="A206" s="68">
        <v>558</v>
      </c>
      <c r="C206" s="68">
        <v>16.350000000000001</v>
      </c>
    </row>
    <row r="207" spans="1:3" x14ac:dyDescent="0.55000000000000004">
      <c r="A207" s="68">
        <v>558</v>
      </c>
      <c r="C207" s="68">
        <v>15.75</v>
      </c>
    </row>
    <row r="208" spans="1:3" x14ac:dyDescent="0.55000000000000004">
      <c r="A208" s="68">
        <v>558</v>
      </c>
      <c r="C208" s="68">
        <v>18.649999999999999</v>
      </c>
    </row>
    <row r="209" spans="1:3" x14ac:dyDescent="0.55000000000000004">
      <c r="A209" s="68">
        <v>558</v>
      </c>
      <c r="C209" s="68">
        <v>16.5</v>
      </c>
    </row>
    <row r="210" spans="1:3" x14ac:dyDescent="0.55000000000000004">
      <c r="A210" s="68">
        <v>642</v>
      </c>
      <c r="C210" s="68">
        <v>19.38</v>
      </c>
    </row>
    <row r="211" spans="1:3" x14ac:dyDescent="0.55000000000000004">
      <c r="A211" s="68">
        <v>642</v>
      </c>
      <c r="C211" s="68">
        <v>18.34</v>
      </c>
    </row>
    <row r="212" spans="1:3" x14ac:dyDescent="0.55000000000000004">
      <c r="A212" s="68">
        <v>642</v>
      </c>
      <c r="C212" s="68">
        <v>17.34</v>
      </c>
    </row>
    <row r="213" spans="1:3" x14ac:dyDescent="0.55000000000000004">
      <c r="A213" s="68">
        <v>642</v>
      </c>
      <c r="C213" s="68">
        <v>18.36</v>
      </c>
    </row>
    <row r="214" spans="1:3" x14ac:dyDescent="0.55000000000000004">
      <c r="A214" s="68">
        <v>642</v>
      </c>
      <c r="C214" s="68">
        <v>18.87</v>
      </c>
    </row>
    <row r="215" spans="1:3" x14ac:dyDescent="0.55000000000000004">
      <c r="A215" s="68">
        <v>642</v>
      </c>
      <c r="C215" s="68">
        <v>16.829999999999998</v>
      </c>
    </row>
    <row r="216" spans="1:3" x14ac:dyDescent="0.55000000000000004">
      <c r="A216" s="68">
        <v>642</v>
      </c>
      <c r="C216" s="68">
        <v>19.38</v>
      </c>
    </row>
    <row r="217" spans="1:3" x14ac:dyDescent="0.55000000000000004">
      <c r="A217" s="68">
        <v>642</v>
      </c>
      <c r="C217" s="68">
        <v>16.829999999999998</v>
      </c>
    </row>
    <row r="218" spans="1:3" x14ac:dyDescent="0.55000000000000004">
      <c r="A218" s="68">
        <v>658</v>
      </c>
      <c r="C218" s="68">
        <v>13.11</v>
      </c>
    </row>
    <row r="219" spans="1:3" x14ac:dyDescent="0.55000000000000004">
      <c r="A219" s="68">
        <v>658</v>
      </c>
      <c r="C219" s="68">
        <v>13.36</v>
      </c>
    </row>
    <row r="220" spans="1:3" x14ac:dyDescent="0.55000000000000004">
      <c r="A220" s="68">
        <v>658</v>
      </c>
      <c r="C220" s="68">
        <v>12.8</v>
      </c>
    </row>
    <row r="221" spans="1:3" x14ac:dyDescent="0.55000000000000004">
      <c r="A221" s="68">
        <v>658</v>
      </c>
      <c r="C221" s="68">
        <v>12.8</v>
      </c>
    </row>
    <row r="222" spans="1:3" x14ac:dyDescent="0.55000000000000004">
      <c r="A222" s="68">
        <v>563</v>
      </c>
      <c r="C222" s="68">
        <v>16</v>
      </c>
    </row>
    <row r="223" spans="1:3" x14ac:dyDescent="0.55000000000000004">
      <c r="A223" s="68">
        <v>563</v>
      </c>
      <c r="C223" s="68">
        <v>16.5</v>
      </c>
    </row>
    <row r="224" spans="1:3" x14ac:dyDescent="0.55000000000000004">
      <c r="A224" s="68">
        <v>563</v>
      </c>
      <c r="C224" s="68">
        <v>16</v>
      </c>
    </row>
    <row r="225" spans="1:3" x14ac:dyDescent="0.55000000000000004">
      <c r="A225" s="68">
        <v>563</v>
      </c>
      <c r="C225" s="68">
        <v>16</v>
      </c>
    </row>
    <row r="226" spans="1:3" x14ac:dyDescent="0.55000000000000004">
      <c r="A226" s="68">
        <v>563</v>
      </c>
      <c r="C226" s="68">
        <v>17</v>
      </c>
    </row>
    <row r="227" spans="1:3" x14ac:dyDescent="0.55000000000000004">
      <c r="A227" s="68">
        <v>563</v>
      </c>
      <c r="C227" s="68">
        <v>16.5</v>
      </c>
    </row>
    <row r="228" spans="1:3" x14ac:dyDescent="0.55000000000000004">
      <c r="A228" s="68">
        <v>563</v>
      </c>
      <c r="C228" s="68">
        <v>16</v>
      </c>
    </row>
    <row r="229" spans="1:3" x14ac:dyDescent="0.55000000000000004">
      <c r="A229" s="68">
        <v>563</v>
      </c>
      <c r="C229" s="68">
        <v>16.5</v>
      </c>
    </row>
    <row r="230" spans="1:3" x14ac:dyDescent="0.55000000000000004">
      <c r="A230" s="68">
        <v>563</v>
      </c>
      <c r="C230" s="68">
        <v>16</v>
      </c>
    </row>
    <row r="231" spans="1:3" x14ac:dyDescent="0.55000000000000004">
      <c r="A231" s="68">
        <v>563</v>
      </c>
      <c r="C231" s="68">
        <v>16</v>
      </c>
    </row>
    <row r="232" spans="1:3" x14ac:dyDescent="0.55000000000000004">
      <c r="A232" s="68">
        <v>563</v>
      </c>
      <c r="C232" s="68">
        <v>17</v>
      </c>
    </row>
    <row r="233" spans="1:3" x14ac:dyDescent="0.55000000000000004">
      <c r="A233" s="68">
        <v>563</v>
      </c>
      <c r="C233" s="68">
        <v>16.5</v>
      </c>
    </row>
    <row r="234" spans="1:3" x14ac:dyDescent="0.55000000000000004">
      <c r="A234" s="68">
        <v>984</v>
      </c>
      <c r="C234" s="68">
        <v>15.6</v>
      </c>
    </row>
    <row r="235" spans="1:3" x14ac:dyDescent="0.55000000000000004">
      <c r="A235" s="68">
        <v>984</v>
      </c>
      <c r="C235" s="68">
        <v>16.8</v>
      </c>
    </row>
    <row r="236" spans="1:3" x14ac:dyDescent="0.55000000000000004">
      <c r="A236" s="68">
        <v>984</v>
      </c>
      <c r="C236" s="68">
        <v>20.5</v>
      </c>
    </row>
    <row r="237" spans="1:3" x14ac:dyDescent="0.55000000000000004">
      <c r="A237" s="68">
        <v>984</v>
      </c>
      <c r="C237" s="68">
        <v>22</v>
      </c>
    </row>
    <row r="238" spans="1:3" x14ac:dyDescent="0.55000000000000004">
      <c r="A238" s="68">
        <v>984</v>
      </c>
      <c r="C238" s="68">
        <v>19.03</v>
      </c>
    </row>
    <row r="239" spans="1:3" x14ac:dyDescent="0.55000000000000004">
      <c r="A239" s="68">
        <v>984</v>
      </c>
      <c r="C239" s="68">
        <v>16.39</v>
      </c>
    </row>
    <row r="240" spans="1:3" x14ac:dyDescent="0.55000000000000004">
      <c r="A240" s="68">
        <v>984</v>
      </c>
      <c r="C240" s="68">
        <v>16.39</v>
      </c>
    </row>
    <row r="241" spans="1:3" x14ac:dyDescent="0.55000000000000004">
      <c r="A241" s="68">
        <v>382</v>
      </c>
      <c r="C241" s="68">
        <v>15.43</v>
      </c>
    </row>
    <row r="242" spans="1:3" x14ac:dyDescent="0.55000000000000004">
      <c r="A242" s="68">
        <v>382</v>
      </c>
      <c r="C242" s="68">
        <v>15.81</v>
      </c>
    </row>
    <row r="243" spans="1:3" x14ac:dyDescent="0.55000000000000004">
      <c r="A243" s="68">
        <v>382</v>
      </c>
      <c r="C243" s="68">
        <v>16.2</v>
      </c>
    </row>
    <row r="244" spans="1:3" x14ac:dyDescent="0.55000000000000004">
      <c r="A244" s="68">
        <v>382</v>
      </c>
      <c r="C244" s="68">
        <v>16.78</v>
      </c>
    </row>
    <row r="245" spans="1:3" x14ac:dyDescent="0.55000000000000004">
      <c r="A245" s="68">
        <v>382</v>
      </c>
      <c r="C245" s="68">
        <v>18.82</v>
      </c>
    </row>
    <row r="246" spans="1:3" x14ac:dyDescent="0.55000000000000004">
      <c r="A246" s="68">
        <v>771</v>
      </c>
      <c r="C246" s="68">
        <v>16.48</v>
      </c>
    </row>
    <row r="247" spans="1:3" x14ac:dyDescent="0.55000000000000004">
      <c r="A247" s="68">
        <v>771</v>
      </c>
      <c r="C247" s="68">
        <v>18.64</v>
      </c>
    </row>
    <row r="248" spans="1:3" x14ac:dyDescent="0.55000000000000004">
      <c r="A248" s="68">
        <v>771</v>
      </c>
      <c r="C248" s="68">
        <v>16.3</v>
      </c>
    </row>
    <row r="249" spans="1:3" x14ac:dyDescent="0.55000000000000004">
      <c r="A249" s="68">
        <v>550</v>
      </c>
      <c r="C249" s="68">
        <v>15.44</v>
      </c>
    </row>
    <row r="250" spans="1:3" x14ac:dyDescent="0.55000000000000004">
      <c r="A250" s="68">
        <v>550</v>
      </c>
      <c r="C250" s="68">
        <v>17.77</v>
      </c>
    </row>
    <row r="251" spans="1:3" x14ac:dyDescent="0.55000000000000004">
      <c r="A251" s="68">
        <v>962</v>
      </c>
      <c r="C251" s="68">
        <v>18.489999999999998</v>
      </c>
    </row>
    <row r="252" spans="1:3" x14ac:dyDescent="0.55000000000000004">
      <c r="A252" s="68">
        <v>962</v>
      </c>
      <c r="C252" s="68">
        <v>19.3</v>
      </c>
    </row>
    <row r="253" spans="1:3" x14ac:dyDescent="0.55000000000000004">
      <c r="A253" s="68">
        <v>962</v>
      </c>
      <c r="C253" s="68">
        <v>18.89</v>
      </c>
    </row>
    <row r="254" spans="1:3" x14ac:dyDescent="0.55000000000000004">
      <c r="A254" s="68">
        <v>962</v>
      </c>
      <c r="C254" s="68">
        <v>15.6</v>
      </c>
    </row>
    <row r="255" spans="1:3" x14ac:dyDescent="0.55000000000000004">
      <c r="A255" s="68">
        <v>962</v>
      </c>
      <c r="C255" s="68">
        <v>17.690000000000001</v>
      </c>
    </row>
    <row r="256" spans="1:3" x14ac:dyDescent="0.55000000000000004">
      <c r="A256" s="68">
        <v>962</v>
      </c>
      <c r="C256" s="68">
        <v>21.31</v>
      </c>
    </row>
    <row r="257" spans="1:3" x14ac:dyDescent="0.55000000000000004">
      <c r="A257" s="68">
        <v>962</v>
      </c>
      <c r="C257" s="68">
        <v>19.3</v>
      </c>
    </row>
    <row r="258" spans="1:3" x14ac:dyDescent="0.55000000000000004">
      <c r="A258" s="68">
        <v>318</v>
      </c>
      <c r="C258" s="68">
        <v>17.72</v>
      </c>
    </row>
    <row r="259" spans="1:3" x14ac:dyDescent="0.55000000000000004">
      <c r="A259" s="68">
        <v>318</v>
      </c>
      <c r="C259" s="68">
        <v>17.47</v>
      </c>
    </row>
    <row r="260" spans="1:3" x14ac:dyDescent="0.55000000000000004">
      <c r="A260" s="68">
        <v>318</v>
      </c>
      <c r="C260" s="68">
        <v>15.47</v>
      </c>
    </row>
    <row r="261" spans="1:3" x14ac:dyDescent="0.55000000000000004">
      <c r="A261" s="68">
        <v>606</v>
      </c>
      <c r="C261" s="68">
        <v>16.05</v>
      </c>
    </row>
    <row r="262" spans="1:3" x14ac:dyDescent="0.55000000000000004">
      <c r="A262" s="68">
        <v>606</v>
      </c>
      <c r="C262" s="68">
        <v>14.99</v>
      </c>
    </row>
    <row r="263" spans="1:3" x14ac:dyDescent="0.55000000000000004">
      <c r="A263" s="68">
        <v>606</v>
      </c>
      <c r="C263" s="68">
        <v>17.649999999999999</v>
      </c>
    </row>
    <row r="264" spans="1:3" x14ac:dyDescent="0.55000000000000004">
      <c r="A264" s="68">
        <v>606</v>
      </c>
      <c r="C264" s="68">
        <v>16.61</v>
      </c>
    </row>
    <row r="265" spans="1:3" x14ac:dyDescent="0.55000000000000004">
      <c r="A265" s="68">
        <v>606</v>
      </c>
      <c r="C265" s="68">
        <v>14.99</v>
      </c>
    </row>
    <row r="266" spans="1:3" x14ac:dyDescent="0.55000000000000004">
      <c r="A266" s="68">
        <v>926</v>
      </c>
      <c r="C266" s="68">
        <v>23.54</v>
      </c>
    </row>
    <row r="267" spans="1:3" x14ac:dyDescent="0.55000000000000004">
      <c r="A267" s="68">
        <v>926</v>
      </c>
      <c r="C267" s="68">
        <v>19.59</v>
      </c>
    </row>
    <row r="268" spans="1:3" x14ac:dyDescent="0.55000000000000004">
      <c r="A268" s="68">
        <v>926</v>
      </c>
      <c r="C268" s="68">
        <v>19.11</v>
      </c>
    </row>
    <row r="269" spans="1:3" x14ac:dyDescent="0.55000000000000004">
      <c r="A269" s="68">
        <v>926</v>
      </c>
      <c r="C269" s="68">
        <v>17.27</v>
      </c>
    </row>
    <row r="270" spans="1:3" x14ac:dyDescent="0.55000000000000004">
      <c r="A270" s="68">
        <v>926</v>
      </c>
      <c r="C270" s="68">
        <v>17.12</v>
      </c>
    </row>
    <row r="271" spans="1:3" x14ac:dyDescent="0.55000000000000004">
      <c r="A271" s="68">
        <v>926</v>
      </c>
      <c r="C271" s="68">
        <v>17.12</v>
      </c>
    </row>
    <row r="272" spans="1:3" x14ac:dyDescent="0.55000000000000004">
      <c r="A272" s="68">
        <v>926</v>
      </c>
      <c r="C272" s="68">
        <v>16.739999999999998</v>
      </c>
    </row>
    <row r="273" spans="1:3" x14ac:dyDescent="0.55000000000000004">
      <c r="A273" s="68">
        <v>926</v>
      </c>
      <c r="C273" s="68">
        <v>16.739999999999998</v>
      </c>
    </row>
    <row r="274" spans="1:3" x14ac:dyDescent="0.55000000000000004">
      <c r="A274" s="68">
        <v>926</v>
      </c>
      <c r="C274" s="68">
        <v>16.47</v>
      </c>
    </row>
    <row r="275" spans="1:3" x14ac:dyDescent="0.55000000000000004">
      <c r="A275" s="68">
        <v>701</v>
      </c>
      <c r="C275" s="68">
        <v>15.85</v>
      </c>
    </row>
    <row r="276" spans="1:3" x14ac:dyDescent="0.55000000000000004">
      <c r="A276" s="68">
        <v>701</v>
      </c>
      <c r="C276" s="68">
        <v>15.85</v>
      </c>
    </row>
    <row r="277" spans="1:3" x14ac:dyDescent="0.55000000000000004">
      <c r="A277" s="68">
        <v>701</v>
      </c>
      <c r="C277" s="68">
        <v>15.85</v>
      </c>
    </row>
    <row r="278" spans="1:3" x14ac:dyDescent="0.55000000000000004">
      <c r="A278" s="68">
        <v>701</v>
      </c>
      <c r="C278" s="68">
        <v>15.85</v>
      </c>
    </row>
    <row r="279" spans="1:3" x14ac:dyDescent="0.55000000000000004">
      <c r="A279" s="68">
        <v>817</v>
      </c>
      <c r="C279" s="68">
        <v>15</v>
      </c>
    </row>
    <row r="280" spans="1:3" x14ac:dyDescent="0.55000000000000004">
      <c r="A280" s="68">
        <v>817</v>
      </c>
      <c r="C280" s="68">
        <v>15.086212877624147</v>
      </c>
    </row>
    <row r="281" spans="1:3" x14ac:dyDescent="0.55000000000000004">
      <c r="A281" s="68">
        <v>817</v>
      </c>
      <c r="C281" s="68">
        <v>14.95985294117647</v>
      </c>
    </row>
    <row r="282" spans="1:3" x14ac:dyDescent="0.55000000000000004">
      <c r="A282" s="68">
        <v>712</v>
      </c>
      <c r="C282" s="68">
        <v>21.36</v>
      </c>
    </row>
    <row r="283" spans="1:3" x14ac:dyDescent="0.55000000000000004">
      <c r="A283" s="68">
        <v>712</v>
      </c>
      <c r="C283" s="68">
        <v>21.36</v>
      </c>
    </row>
    <row r="284" spans="1:3" x14ac:dyDescent="0.55000000000000004">
      <c r="A284" s="68">
        <v>712</v>
      </c>
      <c r="C284" s="68">
        <v>21.36</v>
      </c>
    </row>
    <row r="285" spans="1:3" x14ac:dyDescent="0.55000000000000004">
      <c r="A285" s="68">
        <v>712</v>
      </c>
      <c r="C285" s="68">
        <v>21.36</v>
      </c>
    </row>
    <row r="286" spans="1:3" x14ac:dyDescent="0.55000000000000004">
      <c r="A286" s="68">
        <v>712</v>
      </c>
      <c r="C286" s="68">
        <v>21.79</v>
      </c>
    </row>
    <row r="287" spans="1:3" x14ac:dyDescent="0.55000000000000004">
      <c r="A287" s="68">
        <v>712</v>
      </c>
      <c r="C287" s="68">
        <v>21.79</v>
      </c>
    </row>
    <row r="288" spans="1:3" x14ac:dyDescent="0.55000000000000004">
      <c r="A288" s="68">
        <v>263</v>
      </c>
      <c r="C288" s="68">
        <v>18.72</v>
      </c>
    </row>
    <row r="289" spans="1:3" x14ac:dyDescent="0.55000000000000004">
      <c r="A289" s="68">
        <v>263</v>
      </c>
      <c r="C289" s="68">
        <v>18.72</v>
      </c>
    </row>
    <row r="290" spans="1:3" x14ac:dyDescent="0.55000000000000004">
      <c r="A290" s="68">
        <v>263</v>
      </c>
      <c r="C290" s="68">
        <v>18.72</v>
      </c>
    </row>
    <row r="291" spans="1:3" x14ac:dyDescent="0.55000000000000004">
      <c r="A291" s="68">
        <v>535</v>
      </c>
      <c r="C291" s="68">
        <v>18.98</v>
      </c>
    </row>
    <row r="292" spans="1:3" x14ac:dyDescent="0.55000000000000004">
      <c r="A292" s="68">
        <v>535</v>
      </c>
      <c r="C292" s="68">
        <v>16.850000000000001</v>
      </c>
    </row>
    <row r="293" spans="1:3" x14ac:dyDescent="0.55000000000000004">
      <c r="A293" s="68">
        <v>535</v>
      </c>
      <c r="C293" s="68">
        <v>16.52</v>
      </c>
    </row>
    <row r="294" spans="1:3" x14ac:dyDescent="0.55000000000000004">
      <c r="A294" s="68">
        <v>535</v>
      </c>
      <c r="C294" s="68">
        <v>16.190000000000001</v>
      </c>
    </row>
    <row r="295" spans="1:3" x14ac:dyDescent="0.55000000000000004">
      <c r="A295" s="68">
        <v>535</v>
      </c>
      <c r="C295" s="68">
        <v>16.190000000000001</v>
      </c>
    </row>
    <row r="296" spans="1:3" x14ac:dyDescent="0.55000000000000004">
      <c r="A296" s="68">
        <v>372</v>
      </c>
      <c r="C296" s="68">
        <v>15.6</v>
      </c>
    </row>
    <row r="297" spans="1:3" x14ac:dyDescent="0.55000000000000004">
      <c r="A297" s="68">
        <v>372</v>
      </c>
      <c r="C297" s="68">
        <v>17.149999999999999</v>
      </c>
    </row>
    <row r="298" spans="1:3" x14ac:dyDescent="0.55000000000000004">
      <c r="A298" s="68">
        <v>372</v>
      </c>
      <c r="C298" s="68">
        <v>15.91</v>
      </c>
    </row>
    <row r="299" spans="1:3" x14ac:dyDescent="0.55000000000000004">
      <c r="A299" s="68">
        <v>372</v>
      </c>
      <c r="C299" s="68">
        <v>22.73</v>
      </c>
    </row>
    <row r="300" spans="1:3" x14ac:dyDescent="0.55000000000000004">
      <c r="A300" s="68">
        <v>420</v>
      </c>
      <c r="C300" s="68">
        <v>14</v>
      </c>
    </row>
    <row r="301" spans="1:3" x14ac:dyDescent="0.55000000000000004">
      <c r="A301" s="68">
        <v>420</v>
      </c>
      <c r="C301" s="68">
        <v>16</v>
      </c>
    </row>
    <row r="302" spans="1:3" x14ac:dyDescent="0.55000000000000004">
      <c r="A302" s="68">
        <v>420</v>
      </c>
      <c r="C302" s="68">
        <v>15</v>
      </c>
    </row>
    <row r="303" spans="1:3" x14ac:dyDescent="0.55000000000000004">
      <c r="A303" s="68">
        <v>420</v>
      </c>
      <c r="C303" s="68">
        <v>14</v>
      </c>
    </row>
    <row r="304" spans="1:3" x14ac:dyDescent="0.55000000000000004">
      <c r="A304" s="68">
        <v>420</v>
      </c>
      <c r="C304" s="68">
        <v>12</v>
      </c>
    </row>
    <row r="305" spans="1:3" x14ac:dyDescent="0.55000000000000004">
      <c r="A305" s="68">
        <v>420</v>
      </c>
      <c r="C305" s="68">
        <v>14</v>
      </c>
    </row>
    <row r="306" spans="1:3" x14ac:dyDescent="0.55000000000000004">
      <c r="A306" s="68">
        <v>420</v>
      </c>
      <c r="C306" s="68">
        <v>16</v>
      </c>
    </row>
    <row r="307" spans="1:3" x14ac:dyDescent="0.55000000000000004">
      <c r="A307" s="68">
        <v>604</v>
      </c>
      <c r="C307" s="68">
        <v>15.74</v>
      </c>
    </row>
    <row r="308" spans="1:3" x14ac:dyDescent="0.55000000000000004">
      <c r="A308" s="68">
        <v>604</v>
      </c>
      <c r="C308" s="68">
        <v>15.74</v>
      </c>
    </row>
    <row r="309" spans="1:3" x14ac:dyDescent="0.55000000000000004">
      <c r="A309" s="68">
        <v>604</v>
      </c>
      <c r="C309" s="68">
        <v>15.74</v>
      </c>
    </row>
    <row r="310" spans="1:3" x14ac:dyDescent="0.55000000000000004">
      <c r="A310" s="68">
        <v>604</v>
      </c>
      <c r="C310" s="68">
        <v>16.04</v>
      </c>
    </row>
    <row r="311" spans="1:3" x14ac:dyDescent="0.55000000000000004">
      <c r="A311" s="68">
        <v>604</v>
      </c>
      <c r="C311" s="68">
        <v>17.39</v>
      </c>
    </row>
    <row r="312" spans="1:3" x14ac:dyDescent="0.55000000000000004">
      <c r="A312" s="68">
        <v>212</v>
      </c>
      <c r="C312" s="68">
        <v>14</v>
      </c>
    </row>
    <row r="313" spans="1:3" x14ac:dyDescent="0.55000000000000004">
      <c r="A313" s="68">
        <v>212</v>
      </c>
      <c r="C313" s="68">
        <v>14.95</v>
      </c>
    </row>
    <row r="314" spans="1:3" x14ac:dyDescent="0.55000000000000004">
      <c r="A314" s="68">
        <v>212</v>
      </c>
      <c r="C314" s="68">
        <v>19.09</v>
      </c>
    </row>
    <row r="315" spans="1:3" x14ac:dyDescent="0.55000000000000004">
      <c r="A315" s="68">
        <v>212</v>
      </c>
      <c r="C315" s="68">
        <v>19.46</v>
      </c>
    </row>
    <row r="316" spans="1:3" x14ac:dyDescent="0.55000000000000004">
      <c r="A316" s="68">
        <v>212</v>
      </c>
      <c r="C316" s="68">
        <v>19.829999999999998</v>
      </c>
    </row>
    <row r="317" spans="1:3" x14ac:dyDescent="0.55000000000000004">
      <c r="A317" s="68">
        <v>212</v>
      </c>
      <c r="C317" s="68">
        <v>14</v>
      </c>
    </row>
    <row r="318" spans="1:3" x14ac:dyDescent="0.55000000000000004">
      <c r="A318" s="68">
        <v>212</v>
      </c>
      <c r="C318" s="68">
        <v>14</v>
      </c>
    </row>
    <row r="319" spans="1:3" x14ac:dyDescent="0.55000000000000004">
      <c r="A319" s="68">
        <v>719</v>
      </c>
      <c r="C319" s="68">
        <v>19.440000000000001</v>
      </c>
    </row>
    <row r="320" spans="1:3" x14ac:dyDescent="0.55000000000000004">
      <c r="A320" s="68">
        <v>719</v>
      </c>
      <c r="C320" s="68">
        <v>19.440000000000001</v>
      </c>
    </row>
    <row r="321" spans="1:3" x14ac:dyDescent="0.55000000000000004">
      <c r="A321" s="68">
        <v>719</v>
      </c>
      <c r="C321" s="68">
        <v>19.440000000000001</v>
      </c>
    </row>
    <row r="322" spans="1:3" x14ac:dyDescent="0.55000000000000004">
      <c r="A322" s="68">
        <v>719</v>
      </c>
      <c r="C322" s="68">
        <v>18.77</v>
      </c>
    </row>
    <row r="323" spans="1:3" x14ac:dyDescent="0.55000000000000004">
      <c r="A323" s="68">
        <v>719</v>
      </c>
      <c r="C323" s="68">
        <v>19.09</v>
      </c>
    </row>
    <row r="324" spans="1:3" x14ac:dyDescent="0.55000000000000004">
      <c r="A324" s="68">
        <v>719</v>
      </c>
      <c r="C324" s="68">
        <v>18.7</v>
      </c>
    </row>
    <row r="325" spans="1:3" x14ac:dyDescent="0.55000000000000004">
      <c r="A325" s="68">
        <v>719</v>
      </c>
      <c r="C325" s="68">
        <v>17.579999999999998</v>
      </c>
    </row>
    <row r="326" spans="1:3" x14ac:dyDescent="0.55000000000000004">
      <c r="A326" s="68">
        <v>719</v>
      </c>
      <c r="C326" s="68">
        <v>19.440000000000001</v>
      </c>
    </row>
    <row r="327" spans="1:3" x14ac:dyDescent="0.55000000000000004">
      <c r="A327" s="68">
        <v>719</v>
      </c>
      <c r="C327" s="68">
        <v>19.09</v>
      </c>
    </row>
    <row r="328" spans="1:3" x14ac:dyDescent="0.55000000000000004">
      <c r="A328" s="68">
        <v>719</v>
      </c>
      <c r="C328" s="68">
        <v>19.3</v>
      </c>
    </row>
    <row r="329" spans="1:3" x14ac:dyDescent="0.55000000000000004">
      <c r="A329" s="68">
        <v>719</v>
      </c>
      <c r="C329" s="68">
        <v>18.7</v>
      </c>
    </row>
    <row r="330" spans="1:3" x14ac:dyDescent="0.55000000000000004">
      <c r="A330" s="68">
        <v>910</v>
      </c>
      <c r="C330" s="68">
        <v>15.430252688172043</v>
      </c>
    </row>
    <row r="331" spans="1:3" x14ac:dyDescent="0.55000000000000004">
      <c r="A331" s="68">
        <v>910</v>
      </c>
      <c r="C331" s="68">
        <v>14.487444444444447</v>
      </c>
    </row>
    <row r="332" spans="1:3" x14ac:dyDescent="0.55000000000000004">
      <c r="A332" s="68">
        <v>910</v>
      </c>
      <c r="C332" s="68">
        <v>17.013234820939307</v>
      </c>
    </row>
    <row r="333" spans="1:3" x14ac:dyDescent="0.55000000000000004">
      <c r="A333" s="68">
        <v>910</v>
      </c>
      <c r="C333" s="68">
        <v>14.444152323178873</v>
      </c>
    </row>
    <row r="334" spans="1:3" x14ac:dyDescent="0.55000000000000004">
      <c r="A334" s="68">
        <v>910</v>
      </c>
      <c r="C334" s="68">
        <v>14.269327770994426</v>
      </c>
    </row>
    <row r="335" spans="1:3" x14ac:dyDescent="0.55000000000000004">
      <c r="A335" s="68">
        <v>910</v>
      </c>
      <c r="C335" s="68">
        <v>16.682659178187414</v>
      </c>
    </row>
    <row r="336" spans="1:3" x14ac:dyDescent="0.55000000000000004">
      <c r="A336" s="68">
        <v>910</v>
      </c>
      <c r="C336" s="68">
        <v>16.682719435663721</v>
      </c>
    </row>
    <row r="337" spans="1:3" x14ac:dyDescent="0.55000000000000004">
      <c r="A337" s="68">
        <v>910</v>
      </c>
      <c r="C337" s="68">
        <v>16.743949443609623</v>
      </c>
    </row>
    <row r="338" spans="1:3" x14ac:dyDescent="0.55000000000000004">
      <c r="A338" s="68">
        <v>910</v>
      </c>
      <c r="C338" s="68">
        <v>17.315544645710215</v>
      </c>
    </row>
    <row r="339" spans="1:3" x14ac:dyDescent="0.55000000000000004">
      <c r="A339" s="68">
        <v>910</v>
      </c>
      <c r="C339" s="68">
        <v>16.682632839773682</v>
      </c>
    </row>
    <row r="340" spans="1:3" x14ac:dyDescent="0.55000000000000004">
      <c r="A340" s="68">
        <v>953</v>
      </c>
      <c r="C340" s="68">
        <v>15.05</v>
      </c>
    </row>
    <row r="341" spans="1:3" x14ac:dyDescent="0.55000000000000004">
      <c r="A341" s="68">
        <v>953</v>
      </c>
      <c r="C341" s="68">
        <v>15.83</v>
      </c>
    </row>
    <row r="342" spans="1:3" x14ac:dyDescent="0.55000000000000004">
      <c r="A342" s="68">
        <v>953</v>
      </c>
      <c r="C342" s="68">
        <v>18.62</v>
      </c>
    </row>
    <row r="343" spans="1:3" x14ac:dyDescent="0.55000000000000004">
      <c r="A343" s="68">
        <v>953</v>
      </c>
      <c r="C343" s="68">
        <v>15.05</v>
      </c>
    </row>
    <row r="344" spans="1:3" x14ac:dyDescent="0.55000000000000004">
      <c r="A344" s="68">
        <v>383</v>
      </c>
      <c r="C344" s="68">
        <v>18</v>
      </c>
    </row>
    <row r="345" spans="1:3" x14ac:dyDescent="0.55000000000000004">
      <c r="A345" s="68">
        <v>383</v>
      </c>
      <c r="C345" s="68">
        <v>19</v>
      </c>
    </row>
    <row r="346" spans="1:3" x14ac:dyDescent="0.55000000000000004">
      <c r="A346" s="68">
        <v>383</v>
      </c>
      <c r="C346" s="68">
        <v>18</v>
      </c>
    </row>
    <row r="347" spans="1:3" x14ac:dyDescent="0.55000000000000004">
      <c r="A347" s="68">
        <v>383</v>
      </c>
      <c r="C347" s="68">
        <v>22</v>
      </c>
    </row>
    <row r="348" spans="1:3" x14ac:dyDescent="0.55000000000000004">
      <c r="A348" s="68">
        <v>383</v>
      </c>
      <c r="C348" s="68">
        <v>18</v>
      </c>
    </row>
    <row r="349" spans="1:3" x14ac:dyDescent="0.55000000000000004">
      <c r="A349" s="68">
        <v>383</v>
      </c>
      <c r="C349" s="68">
        <v>18</v>
      </c>
    </row>
    <row r="350" spans="1:3" x14ac:dyDescent="0.55000000000000004">
      <c r="A350" s="68">
        <v>756</v>
      </c>
      <c r="C350" s="68">
        <v>16.5</v>
      </c>
    </row>
    <row r="351" spans="1:3" x14ac:dyDescent="0.55000000000000004">
      <c r="A351" s="68">
        <v>500</v>
      </c>
      <c r="C351" s="68">
        <v>16.3</v>
      </c>
    </row>
    <row r="352" spans="1:3" x14ac:dyDescent="0.55000000000000004">
      <c r="A352" s="68">
        <v>500</v>
      </c>
      <c r="C352" s="68">
        <v>14.48</v>
      </c>
    </row>
    <row r="353" spans="1:3" x14ac:dyDescent="0.55000000000000004">
      <c r="A353" s="68">
        <v>500</v>
      </c>
      <c r="C353" s="68">
        <v>16.13</v>
      </c>
    </row>
    <row r="354" spans="1:3" x14ac:dyDescent="0.55000000000000004">
      <c r="A354" s="68">
        <v>500</v>
      </c>
      <c r="C354" s="68">
        <v>17</v>
      </c>
    </row>
    <row r="355" spans="1:3" x14ac:dyDescent="0.55000000000000004">
      <c r="A355" s="68">
        <v>500</v>
      </c>
      <c r="C355" s="68">
        <v>15.8</v>
      </c>
    </row>
    <row r="356" spans="1:3" x14ac:dyDescent="0.55000000000000004">
      <c r="A356" s="68">
        <v>500</v>
      </c>
      <c r="C356" s="68">
        <v>15.25</v>
      </c>
    </row>
    <row r="357" spans="1:3" x14ac:dyDescent="0.55000000000000004">
      <c r="A357" s="68">
        <v>500</v>
      </c>
      <c r="C357" s="68">
        <v>16.13</v>
      </c>
    </row>
    <row r="358" spans="1:3" x14ac:dyDescent="0.55000000000000004">
      <c r="A358" s="68">
        <v>718</v>
      </c>
      <c r="C358" s="68">
        <v>18.09</v>
      </c>
    </row>
    <row r="359" spans="1:3" x14ac:dyDescent="0.55000000000000004">
      <c r="A359" s="68">
        <v>718</v>
      </c>
      <c r="C359" s="68">
        <v>18.09</v>
      </c>
    </row>
    <row r="360" spans="1:3" x14ac:dyDescent="0.55000000000000004">
      <c r="A360" s="68">
        <v>718</v>
      </c>
      <c r="C360" s="68">
        <v>18.09</v>
      </c>
    </row>
    <row r="361" spans="1:3" x14ac:dyDescent="0.55000000000000004">
      <c r="A361" s="68">
        <v>718</v>
      </c>
      <c r="C361" s="68">
        <v>18.920000000000002</v>
      </c>
    </row>
    <row r="362" spans="1:3" x14ac:dyDescent="0.55000000000000004">
      <c r="A362" s="68">
        <v>718</v>
      </c>
      <c r="C362" s="68">
        <v>18.920000000000002</v>
      </c>
    </row>
    <row r="363" spans="1:3" x14ac:dyDescent="0.55000000000000004">
      <c r="A363" s="68">
        <v>718</v>
      </c>
      <c r="C363" s="68">
        <v>19</v>
      </c>
    </row>
    <row r="364" spans="1:3" x14ac:dyDescent="0.55000000000000004">
      <c r="A364" s="68">
        <v>718</v>
      </c>
      <c r="C364" s="68">
        <v>19.87</v>
      </c>
    </row>
    <row r="365" spans="1:3" x14ac:dyDescent="0.55000000000000004">
      <c r="A365" s="68">
        <v>718</v>
      </c>
      <c r="C365" s="68">
        <v>20.059999999999999</v>
      </c>
    </row>
    <row r="366" spans="1:3" x14ac:dyDescent="0.55000000000000004">
      <c r="A366" s="68">
        <v>718</v>
      </c>
      <c r="C366" s="68">
        <v>20.41</v>
      </c>
    </row>
    <row r="367" spans="1:3" x14ac:dyDescent="0.55000000000000004">
      <c r="A367" s="68">
        <v>852</v>
      </c>
      <c r="C367" s="68">
        <v>15.3</v>
      </c>
    </row>
    <row r="368" spans="1:3" x14ac:dyDescent="0.55000000000000004">
      <c r="A368" s="68">
        <v>590</v>
      </c>
      <c r="C368" s="68">
        <v>17.93</v>
      </c>
    </row>
    <row r="369" spans="1:3" x14ac:dyDescent="0.55000000000000004">
      <c r="A369" s="68">
        <v>590</v>
      </c>
      <c r="C369" s="68">
        <v>19.850000000000001</v>
      </c>
    </row>
    <row r="370" spans="1:3" x14ac:dyDescent="0.55000000000000004">
      <c r="A370" s="68">
        <v>590</v>
      </c>
      <c r="C370" s="68">
        <v>18.25</v>
      </c>
    </row>
    <row r="371" spans="1:3" x14ac:dyDescent="0.55000000000000004">
      <c r="A371" s="68">
        <v>590</v>
      </c>
      <c r="C371" s="68">
        <v>19.350000000000001</v>
      </c>
    </row>
    <row r="372" spans="1:3" x14ac:dyDescent="0.55000000000000004">
      <c r="A372" s="68">
        <v>590</v>
      </c>
      <c r="C372" s="68">
        <v>21</v>
      </c>
    </row>
    <row r="373" spans="1:3" x14ac:dyDescent="0.55000000000000004">
      <c r="A373" s="68">
        <v>590</v>
      </c>
      <c r="C373" s="68">
        <v>17.93</v>
      </c>
    </row>
    <row r="374" spans="1:3" x14ac:dyDescent="0.55000000000000004">
      <c r="A374" s="68">
        <v>540</v>
      </c>
      <c r="C374" s="68">
        <v>16.71</v>
      </c>
    </row>
    <row r="375" spans="1:3" x14ac:dyDescent="0.55000000000000004">
      <c r="A375" s="68">
        <v>540</v>
      </c>
      <c r="C375" s="68">
        <v>16.829999999999998</v>
      </c>
    </row>
    <row r="376" spans="1:3" x14ac:dyDescent="0.55000000000000004">
      <c r="A376" s="68">
        <v>540</v>
      </c>
      <c r="C376" s="68">
        <v>20.41</v>
      </c>
    </row>
    <row r="377" spans="1:3" x14ac:dyDescent="0.55000000000000004">
      <c r="A377" s="68">
        <v>540</v>
      </c>
      <c r="C377" s="68">
        <v>17</v>
      </c>
    </row>
    <row r="378" spans="1:3" x14ac:dyDescent="0.55000000000000004">
      <c r="A378" s="68">
        <v>540</v>
      </c>
      <c r="C378" s="68">
        <v>16.89</v>
      </c>
    </row>
    <row r="379" spans="1:3" x14ac:dyDescent="0.55000000000000004">
      <c r="A379" s="68">
        <v>540</v>
      </c>
      <c r="C379" s="68">
        <v>20.41</v>
      </c>
    </row>
    <row r="380" spans="1:3" x14ac:dyDescent="0.55000000000000004">
      <c r="A380" s="68">
        <v>540</v>
      </c>
      <c r="C380" s="68">
        <v>21.63</v>
      </c>
    </row>
    <row r="381" spans="1:3" x14ac:dyDescent="0.55000000000000004">
      <c r="A381" s="68">
        <v>540</v>
      </c>
      <c r="C381" s="68">
        <v>15.86</v>
      </c>
    </row>
    <row r="382" spans="1:3" x14ac:dyDescent="0.55000000000000004">
      <c r="A382" s="68">
        <v>540</v>
      </c>
      <c r="C382" s="68">
        <v>15.4</v>
      </c>
    </row>
    <row r="383" spans="1:3" x14ac:dyDescent="0.55000000000000004">
      <c r="A383" s="68">
        <v>540</v>
      </c>
      <c r="C383" s="68">
        <v>17.739999999999998</v>
      </c>
    </row>
    <row r="384" spans="1:3" x14ac:dyDescent="0.55000000000000004">
      <c r="A384" s="68">
        <v>540</v>
      </c>
      <c r="C384" s="68">
        <v>15.86</v>
      </c>
    </row>
    <row r="385" spans="1:3" x14ac:dyDescent="0.55000000000000004">
      <c r="A385" s="68">
        <v>540</v>
      </c>
      <c r="C385" s="68">
        <v>17.03</v>
      </c>
    </row>
    <row r="386" spans="1:3" x14ac:dyDescent="0.55000000000000004">
      <c r="A386" s="68">
        <v>173</v>
      </c>
      <c r="C386" s="68">
        <v>16.899999999999999</v>
      </c>
    </row>
    <row r="387" spans="1:3" x14ac:dyDescent="0.55000000000000004">
      <c r="A387" s="68">
        <v>173</v>
      </c>
      <c r="C387" s="68">
        <v>16.899999999999999</v>
      </c>
    </row>
    <row r="388" spans="1:3" x14ac:dyDescent="0.55000000000000004">
      <c r="A388" s="68">
        <v>173</v>
      </c>
      <c r="C388" s="68">
        <v>16.899999999999999</v>
      </c>
    </row>
    <row r="389" spans="1:3" x14ac:dyDescent="0.55000000000000004">
      <c r="A389" s="68">
        <v>173</v>
      </c>
      <c r="C389" s="68">
        <v>17.3</v>
      </c>
    </row>
    <row r="390" spans="1:3" x14ac:dyDescent="0.55000000000000004">
      <c r="A390" s="68">
        <v>173</v>
      </c>
      <c r="C390" s="68">
        <v>18.100000000000001</v>
      </c>
    </row>
    <row r="391" spans="1:3" x14ac:dyDescent="0.55000000000000004">
      <c r="A391" s="68">
        <v>173</v>
      </c>
      <c r="C391" s="68">
        <v>20</v>
      </c>
    </row>
    <row r="392" spans="1:3" x14ac:dyDescent="0.55000000000000004">
      <c r="A392" s="68">
        <v>227</v>
      </c>
      <c r="C392" s="68">
        <v>16</v>
      </c>
    </row>
    <row r="393" spans="1:3" x14ac:dyDescent="0.55000000000000004">
      <c r="A393" s="68">
        <v>227</v>
      </c>
      <c r="C393" s="68">
        <v>12.5</v>
      </c>
    </row>
    <row r="394" spans="1:3" x14ac:dyDescent="0.55000000000000004">
      <c r="A394" s="68">
        <v>646</v>
      </c>
      <c r="C394" s="68">
        <v>18.98</v>
      </c>
    </row>
    <row r="395" spans="1:3" x14ac:dyDescent="0.55000000000000004">
      <c r="A395" s="68">
        <v>646</v>
      </c>
      <c r="C395" s="68">
        <v>18.98</v>
      </c>
    </row>
    <row r="396" spans="1:3" x14ac:dyDescent="0.55000000000000004">
      <c r="A396" s="68">
        <v>646</v>
      </c>
      <c r="C396" s="68">
        <v>18.98</v>
      </c>
    </row>
    <row r="397" spans="1:3" x14ac:dyDescent="0.55000000000000004">
      <c r="A397" s="68">
        <v>646</v>
      </c>
      <c r="C397" s="68">
        <v>18.98</v>
      </c>
    </row>
    <row r="398" spans="1:3" x14ac:dyDescent="0.55000000000000004">
      <c r="A398" s="68">
        <v>646</v>
      </c>
      <c r="C398" s="68">
        <v>18.98</v>
      </c>
    </row>
    <row r="399" spans="1:3" x14ac:dyDescent="0.55000000000000004">
      <c r="A399" s="68">
        <v>646</v>
      </c>
      <c r="C399" s="68">
        <v>18.98</v>
      </c>
    </row>
    <row r="400" spans="1:3" x14ac:dyDescent="0.55000000000000004">
      <c r="A400" s="68">
        <v>646</v>
      </c>
      <c r="C400" s="68">
        <v>18.61</v>
      </c>
    </row>
    <row r="401" spans="1:3" x14ac:dyDescent="0.55000000000000004">
      <c r="A401" s="68">
        <v>646</v>
      </c>
      <c r="C401" s="68">
        <v>18.420000000000002</v>
      </c>
    </row>
    <row r="402" spans="1:3" x14ac:dyDescent="0.55000000000000004">
      <c r="A402" s="68">
        <v>646</v>
      </c>
      <c r="C402" s="68">
        <v>18.239999999999998</v>
      </c>
    </row>
    <row r="403" spans="1:3" x14ac:dyDescent="0.55000000000000004">
      <c r="A403" s="68">
        <v>646</v>
      </c>
      <c r="C403" s="68">
        <v>18.239999999999998</v>
      </c>
    </row>
    <row r="404" spans="1:3" x14ac:dyDescent="0.55000000000000004">
      <c r="A404" s="68">
        <v>646</v>
      </c>
      <c r="C404" s="68">
        <v>18.239999999999998</v>
      </c>
    </row>
    <row r="405" spans="1:3" x14ac:dyDescent="0.55000000000000004">
      <c r="A405" s="68">
        <v>646</v>
      </c>
      <c r="C405" s="68">
        <v>17.190000000000001</v>
      </c>
    </row>
    <row r="406" spans="1:3" x14ac:dyDescent="0.55000000000000004">
      <c r="A406" s="68">
        <v>646</v>
      </c>
      <c r="C406" s="68">
        <v>16.850000000000001</v>
      </c>
    </row>
    <row r="407" spans="1:3" x14ac:dyDescent="0.55000000000000004">
      <c r="A407" s="68">
        <v>646</v>
      </c>
      <c r="C407" s="68">
        <v>15.57</v>
      </c>
    </row>
    <row r="408" spans="1:3" x14ac:dyDescent="0.55000000000000004">
      <c r="A408" s="68">
        <v>142</v>
      </c>
      <c r="C408" s="68">
        <v>16.107199999999999</v>
      </c>
    </row>
    <row r="409" spans="1:3" x14ac:dyDescent="0.55000000000000004">
      <c r="A409" s="68">
        <v>142</v>
      </c>
      <c r="C409" s="68">
        <v>16.8</v>
      </c>
    </row>
    <row r="410" spans="1:3" x14ac:dyDescent="0.55000000000000004">
      <c r="A410" s="68">
        <v>142</v>
      </c>
      <c r="C410" s="68">
        <v>16.8</v>
      </c>
    </row>
    <row r="411" spans="1:3" x14ac:dyDescent="0.55000000000000004">
      <c r="A411" s="68">
        <v>142</v>
      </c>
      <c r="C411" s="68">
        <v>17.555199999999999</v>
      </c>
    </row>
    <row r="412" spans="1:3" x14ac:dyDescent="0.55000000000000004">
      <c r="A412" s="68">
        <v>142</v>
      </c>
      <c r="C412" s="68">
        <v>16.846800000000002</v>
      </c>
    </row>
    <row r="413" spans="1:3" x14ac:dyDescent="0.55000000000000004">
      <c r="A413" s="68">
        <v>142</v>
      </c>
      <c r="C413" s="68">
        <v>16.723199999999999</v>
      </c>
    </row>
    <row r="414" spans="1:3" x14ac:dyDescent="0.55000000000000004">
      <c r="A414" s="68">
        <v>142</v>
      </c>
      <c r="C414" s="68">
        <v>16.8</v>
      </c>
    </row>
    <row r="415" spans="1:3" x14ac:dyDescent="0.55000000000000004">
      <c r="A415" s="68">
        <v>142</v>
      </c>
      <c r="C415" s="68">
        <v>18.0336</v>
      </c>
    </row>
    <row r="416" spans="1:3" x14ac:dyDescent="0.55000000000000004">
      <c r="A416" s="68">
        <v>315</v>
      </c>
      <c r="C416" s="68">
        <v>15.25</v>
      </c>
    </row>
    <row r="417" spans="1:3" x14ac:dyDescent="0.55000000000000004">
      <c r="A417" s="68">
        <v>315</v>
      </c>
      <c r="C417" s="68">
        <v>15.25</v>
      </c>
    </row>
    <row r="418" spans="1:3" x14ac:dyDescent="0.55000000000000004">
      <c r="A418" s="68">
        <v>315</v>
      </c>
      <c r="C418" s="68">
        <v>15.25</v>
      </c>
    </row>
    <row r="419" spans="1:3" x14ac:dyDescent="0.55000000000000004">
      <c r="A419" s="68">
        <v>315</v>
      </c>
      <c r="C419" s="68">
        <v>15.25</v>
      </c>
    </row>
    <row r="420" spans="1:3" x14ac:dyDescent="0.55000000000000004">
      <c r="A420" s="68">
        <v>315</v>
      </c>
      <c r="C420" s="68">
        <v>15.25</v>
      </c>
    </row>
    <row r="421" spans="1:3" x14ac:dyDescent="0.55000000000000004">
      <c r="A421" s="68">
        <v>315</v>
      </c>
      <c r="C421" s="68">
        <v>15.71</v>
      </c>
    </row>
    <row r="422" spans="1:3" x14ac:dyDescent="0.55000000000000004">
      <c r="A422" s="68">
        <v>315</v>
      </c>
      <c r="C422" s="68">
        <v>15.71</v>
      </c>
    </row>
    <row r="423" spans="1:3" x14ac:dyDescent="0.55000000000000004">
      <c r="A423" s="68">
        <v>315</v>
      </c>
      <c r="C423" s="68">
        <v>15.71</v>
      </c>
    </row>
    <row r="424" spans="1:3" x14ac:dyDescent="0.55000000000000004">
      <c r="A424" s="68">
        <v>315</v>
      </c>
      <c r="C424" s="68">
        <v>16.18</v>
      </c>
    </row>
    <row r="425" spans="1:3" x14ac:dyDescent="0.55000000000000004">
      <c r="A425" s="68">
        <v>315</v>
      </c>
      <c r="C425" s="68">
        <v>16.18</v>
      </c>
    </row>
    <row r="426" spans="1:3" x14ac:dyDescent="0.55000000000000004">
      <c r="A426" s="68">
        <v>315</v>
      </c>
      <c r="C426" s="68">
        <v>16.18</v>
      </c>
    </row>
    <row r="427" spans="1:3" x14ac:dyDescent="0.55000000000000004">
      <c r="A427" s="68">
        <v>315</v>
      </c>
      <c r="C427" s="68">
        <v>16.18</v>
      </c>
    </row>
    <row r="428" spans="1:3" x14ac:dyDescent="0.55000000000000004">
      <c r="A428" s="68">
        <v>315</v>
      </c>
      <c r="C428" s="68">
        <v>16.66</v>
      </c>
    </row>
    <row r="429" spans="1:3" x14ac:dyDescent="0.55000000000000004">
      <c r="A429" s="68">
        <v>315</v>
      </c>
      <c r="C429" s="68">
        <v>16.66</v>
      </c>
    </row>
    <row r="430" spans="1:3" x14ac:dyDescent="0.55000000000000004">
      <c r="A430" s="68">
        <v>315</v>
      </c>
      <c r="C430" s="68">
        <v>16.66</v>
      </c>
    </row>
    <row r="431" spans="1:3" x14ac:dyDescent="0.55000000000000004">
      <c r="A431" s="68">
        <v>315</v>
      </c>
      <c r="C431" s="68">
        <v>16.66</v>
      </c>
    </row>
    <row r="432" spans="1:3" x14ac:dyDescent="0.55000000000000004">
      <c r="A432" s="68">
        <v>315</v>
      </c>
      <c r="C432" s="68">
        <v>17.68</v>
      </c>
    </row>
    <row r="433" spans="1:3" x14ac:dyDescent="0.55000000000000004">
      <c r="A433" s="68">
        <v>315</v>
      </c>
      <c r="C433" s="68">
        <v>17.68</v>
      </c>
    </row>
    <row r="434" spans="1:3" x14ac:dyDescent="0.55000000000000004">
      <c r="A434" s="68">
        <v>315</v>
      </c>
      <c r="C434" s="68">
        <v>17.68</v>
      </c>
    </row>
    <row r="435" spans="1:3" x14ac:dyDescent="0.55000000000000004">
      <c r="A435" s="68">
        <v>315</v>
      </c>
      <c r="C435" s="68">
        <v>18.21</v>
      </c>
    </row>
    <row r="436" spans="1:3" x14ac:dyDescent="0.55000000000000004">
      <c r="A436" s="68">
        <v>315</v>
      </c>
      <c r="C436" s="68">
        <v>18.760000000000002</v>
      </c>
    </row>
    <row r="437" spans="1:3" x14ac:dyDescent="0.55000000000000004">
      <c r="A437" s="68">
        <v>315</v>
      </c>
      <c r="C437" s="68">
        <v>19.899999999999999</v>
      </c>
    </row>
    <row r="438" spans="1:3" x14ac:dyDescent="0.55000000000000004">
      <c r="A438" s="68">
        <v>315</v>
      </c>
      <c r="C438" s="68">
        <v>19.899999999999999</v>
      </c>
    </row>
    <row r="439" spans="1:3" x14ac:dyDescent="0.55000000000000004">
      <c r="A439" s="68">
        <v>315</v>
      </c>
      <c r="C439" s="68">
        <v>21.11</v>
      </c>
    </row>
    <row r="440" spans="1:3" x14ac:dyDescent="0.55000000000000004">
      <c r="A440" s="68">
        <v>315</v>
      </c>
      <c r="C440" s="68">
        <v>23.07</v>
      </c>
    </row>
    <row r="441" spans="1:3" x14ac:dyDescent="0.55000000000000004">
      <c r="A441" s="68">
        <v>315</v>
      </c>
      <c r="C441" s="68">
        <v>23.76</v>
      </c>
    </row>
    <row r="442" spans="1:3" x14ac:dyDescent="0.55000000000000004">
      <c r="A442" s="68">
        <v>452</v>
      </c>
      <c r="C442" s="68">
        <v>18.95</v>
      </c>
    </row>
    <row r="443" spans="1:3" x14ac:dyDescent="0.55000000000000004">
      <c r="A443" s="68">
        <v>452</v>
      </c>
      <c r="C443" s="68">
        <v>18.22</v>
      </c>
    </row>
    <row r="444" spans="1:3" x14ac:dyDescent="0.55000000000000004">
      <c r="A444" s="68">
        <v>336</v>
      </c>
      <c r="C444" s="68">
        <v>19.34</v>
      </c>
    </row>
    <row r="445" spans="1:3" x14ac:dyDescent="0.55000000000000004">
      <c r="A445" s="68">
        <v>336</v>
      </c>
      <c r="C445" s="68">
        <v>19.760000000000002</v>
      </c>
    </row>
    <row r="446" spans="1:3" x14ac:dyDescent="0.55000000000000004">
      <c r="A446" s="68">
        <v>184</v>
      </c>
      <c r="C446" s="68">
        <v>15</v>
      </c>
    </row>
    <row r="447" spans="1:3" x14ac:dyDescent="0.55000000000000004">
      <c r="A447" s="68">
        <v>184</v>
      </c>
      <c r="C447" s="68">
        <v>15.25</v>
      </c>
    </row>
    <row r="448" spans="1:3" x14ac:dyDescent="0.55000000000000004">
      <c r="A448" s="68">
        <v>184</v>
      </c>
      <c r="C448" s="68">
        <v>16</v>
      </c>
    </row>
    <row r="449" spans="1:3" x14ac:dyDescent="0.55000000000000004">
      <c r="A449" s="68">
        <v>937</v>
      </c>
      <c r="C449" s="68">
        <v>19.09</v>
      </c>
    </row>
    <row r="450" spans="1:3" x14ac:dyDescent="0.55000000000000004">
      <c r="A450" s="68">
        <v>937</v>
      </c>
      <c r="C450" s="68">
        <v>17.760000000000002</v>
      </c>
    </row>
    <row r="451" spans="1:3" x14ac:dyDescent="0.55000000000000004">
      <c r="A451" s="68">
        <v>937</v>
      </c>
      <c r="C451" s="68">
        <v>18.88</v>
      </c>
    </row>
    <row r="452" spans="1:3" x14ac:dyDescent="0.55000000000000004">
      <c r="A452" s="68">
        <v>916</v>
      </c>
      <c r="C452" s="68">
        <v>18.02</v>
      </c>
    </row>
    <row r="453" spans="1:3" x14ac:dyDescent="0.55000000000000004">
      <c r="A453" s="68">
        <v>916</v>
      </c>
      <c r="C453" s="68">
        <v>17</v>
      </c>
    </row>
    <row r="454" spans="1:3" x14ac:dyDescent="0.55000000000000004">
      <c r="A454" s="68">
        <v>916</v>
      </c>
      <c r="C454" s="68">
        <v>17</v>
      </c>
    </row>
    <row r="455" spans="1:3" x14ac:dyDescent="0.55000000000000004">
      <c r="A455" s="68">
        <v>916</v>
      </c>
      <c r="C455" s="68">
        <v>16.75</v>
      </c>
    </row>
    <row r="456" spans="1:3" x14ac:dyDescent="0.55000000000000004">
      <c r="A456" s="68">
        <v>916</v>
      </c>
      <c r="C456" s="68">
        <v>16.75</v>
      </c>
    </row>
    <row r="457" spans="1:3" x14ac:dyDescent="0.55000000000000004">
      <c r="A457" s="68">
        <v>916</v>
      </c>
      <c r="C457" s="68">
        <v>16.75</v>
      </c>
    </row>
    <row r="458" spans="1:3" x14ac:dyDescent="0.55000000000000004">
      <c r="A458" s="68">
        <v>916</v>
      </c>
      <c r="C458" s="68">
        <v>16.75</v>
      </c>
    </row>
    <row r="459" spans="1:3" x14ac:dyDescent="0.55000000000000004">
      <c r="A459" s="68">
        <v>916</v>
      </c>
      <c r="C459" s="68">
        <v>16.5</v>
      </c>
    </row>
    <row r="460" spans="1:3" x14ac:dyDescent="0.55000000000000004">
      <c r="A460" s="68">
        <v>916</v>
      </c>
      <c r="C460" s="68">
        <v>16.5</v>
      </c>
    </row>
    <row r="461" spans="1:3" x14ac:dyDescent="0.55000000000000004">
      <c r="A461" s="68">
        <v>916</v>
      </c>
      <c r="C461" s="68">
        <v>16.5</v>
      </c>
    </row>
    <row r="462" spans="1:3" x14ac:dyDescent="0.55000000000000004">
      <c r="A462" s="68">
        <v>916</v>
      </c>
      <c r="C462" s="68">
        <v>16.5</v>
      </c>
    </row>
    <row r="463" spans="1:3" x14ac:dyDescent="0.55000000000000004">
      <c r="A463" s="68">
        <v>916</v>
      </c>
      <c r="C463" s="68">
        <v>16.5</v>
      </c>
    </row>
    <row r="464" spans="1:3" x14ac:dyDescent="0.55000000000000004">
      <c r="A464" s="68">
        <v>916</v>
      </c>
      <c r="C464" s="68">
        <v>16.5</v>
      </c>
    </row>
    <row r="465" spans="1:3" x14ac:dyDescent="0.55000000000000004">
      <c r="A465" s="68">
        <v>916</v>
      </c>
      <c r="C465" s="68">
        <v>16.25</v>
      </c>
    </row>
    <row r="466" spans="1:3" x14ac:dyDescent="0.55000000000000004">
      <c r="A466" s="68">
        <v>916</v>
      </c>
      <c r="C466" s="68">
        <v>16.25</v>
      </c>
    </row>
    <row r="467" spans="1:3" x14ac:dyDescent="0.55000000000000004">
      <c r="A467" s="68">
        <v>916</v>
      </c>
      <c r="C467" s="68">
        <v>16.010000000000002</v>
      </c>
    </row>
    <row r="468" spans="1:3" x14ac:dyDescent="0.55000000000000004">
      <c r="A468" s="68">
        <v>916</v>
      </c>
      <c r="C468" s="68">
        <v>16.010000000000002</v>
      </c>
    </row>
    <row r="469" spans="1:3" x14ac:dyDescent="0.55000000000000004">
      <c r="A469" s="68">
        <v>916</v>
      </c>
      <c r="C469" s="68">
        <v>15.78</v>
      </c>
    </row>
    <row r="470" spans="1:3" x14ac:dyDescent="0.55000000000000004">
      <c r="A470" s="68">
        <v>916</v>
      </c>
      <c r="C470" s="68">
        <v>15.54</v>
      </c>
    </row>
    <row r="471" spans="1:3" x14ac:dyDescent="0.55000000000000004">
      <c r="A471" s="68">
        <v>916</v>
      </c>
      <c r="C471" s="68">
        <v>14.28</v>
      </c>
    </row>
    <row r="472" spans="1:3" x14ac:dyDescent="0.55000000000000004">
      <c r="A472" s="68">
        <v>624</v>
      </c>
      <c r="C472" s="68">
        <v>14</v>
      </c>
    </row>
    <row r="473" spans="1:3" x14ac:dyDescent="0.55000000000000004">
      <c r="A473" s="68">
        <v>624</v>
      </c>
      <c r="C473" s="68">
        <v>14.26</v>
      </c>
    </row>
    <row r="474" spans="1:3" x14ac:dyDescent="0.55000000000000004">
      <c r="A474" s="68">
        <v>624</v>
      </c>
      <c r="C474" s="68">
        <v>14.28</v>
      </c>
    </row>
    <row r="475" spans="1:3" x14ac:dyDescent="0.55000000000000004">
      <c r="A475" s="68">
        <v>624</v>
      </c>
      <c r="C475" s="68">
        <v>14.52</v>
      </c>
    </row>
    <row r="476" spans="1:3" x14ac:dyDescent="0.55000000000000004">
      <c r="A476" s="68">
        <v>624</v>
      </c>
      <c r="C476" s="68">
        <v>15.08</v>
      </c>
    </row>
    <row r="477" spans="1:3" x14ac:dyDescent="0.55000000000000004">
      <c r="A477" s="68">
        <v>624</v>
      </c>
      <c r="C477" s="68">
        <v>15.34</v>
      </c>
    </row>
    <row r="478" spans="1:3" x14ac:dyDescent="0.55000000000000004">
      <c r="A478" s="68">
        <v>624</v>
      </c>
      <c r="C478" s="68">
        <v>16.079999999999998</v>
      </c>
    </row>
    <row r="479" spans="1:3" x14ac:dyDescent="0.55000000000000004">
      <c r="A479" s="68">
        <v>624</v>
      </c>
      <c r="C479" s="68">
        <v>16.34</v>
      </c>
    </row>
    <row r="480" spans="1:3" x14ac:dyDescent="0.55000000000000004">
      <c r="A480" s="68">
        <v>624</v>
      </c>
      <c r="C480" s="68">
        <v>16.37</v>
      </c>
    </row>
    <row r="481" spans="1:3" x14ac:dyDescent="0.55000000000000004">
      <c r="A481" s="68">
        <v>624</v>
      </c>
      <c r="C481" s="68">
        <v>16.93</v>
      </c>
    </row>
    <row r="482" spans="1:3" x14ac:dyDescent="0.55000000000000004">
      <c r="A482" s="68">
        <v>624</v>
      </c>
      <c r="C482" s="68">
        <v>17.899999999999999</v>
      </c>
    </row>
    <row r="483" spans="1:3" x14ac:dyDescent="0.55000000000000004">
      <c r="A483" s="68">
        <v>624</v>
      </c>
      <c r="C483" s="68">
        <v>17.899999999999999</v>
      </c>
    </row>
    <row r="484" spans="1:3" x14ac:dyDescent="0.55000000000000004">
      <c r="A484" s="68">
        <v>624</v>
      </c>
      <c r="C484" s="68">
        <v>17.989999999999998</v>
      </c>
    </row>
    <row r="485" spans="1:3" x14ac:dyDescent="0.55000000000000004">
      <c r="A485" s="68">
        <v>624</v>
      </c>
      <c r="C485" s="68">
        <v>18.23</v>
      </c>
    </row>
    <row r="486" spans="1:3" x14ac:dyDescent="0.55000000000000004">
      <c r="A486" s="68">
        <v>965</v>
      </c>
      <c r="C486" s="68">
        <v>20.41</v>
      </c>
    </row>
    <row r="487" spans="1:3" x14ac:dyDescent="0.55000000000000004">
      <c r="A487" s="68">
        <v>965</v>
      </c>
      <c r="C487" s="68">
        <v>20.41</v>
      </c>
    </row>
    <row r="488" spans="1:3" x14ac:dyDescent="0.55000000000000004">
      <c r="A488" s="68">
        <v>965</v>
      </c>
      <c r="C488" s="68">
        <v>20.41</v>
      </c>
    </row>
    <row r="489" spans="1:3" x14ac:dyDescent="0.55000000000000004">
      <c r="A489" s="68">
        <v>965</v>
      </c>
      <c r="C489" s="68">
        <v>20.41</v>
      </c>
    </row>
    <row r="490" spans="1:3" x14ac:dyDescent="0.55000000000000004">
      <c r="A490" s="68">
        <v>268</v>
      </c>
      <c r="C490" s="68">
        <v>20.99</v>
      </c>
    </row>
    <row r="491" spans="1:3" x14ac:dyDescent="0.55000000000000004">
      <c r="A491" s="68">
        <v>268</v>
      </c>
      <c r="C491" s="68">
        <v>19.22</v>
      </c>
    </row>
    <row r="492" spans="1:3" x14ac:dyDescent="0.55000000000000004">
      <c r="A492" s="68">
        <v>268</v>
      </c>
      <c r="C492" s="68">
        <v>17</v>
      </c>
    </row>
    <row r="493" spans="1:3" x14ac:dyDescent="0.55000000000000004">
      <c r="A493" s="68">
        <v>268</v>
      </c>
      <c r="C493" s="68">
        <v>16.05</v>
      </c>
    </row>
    <row r="494" spans="1:3" x14ac:dyDescent="0.55000000000000004">
      <c r="A494" s="68">
        <v>268</v>
      </c>
      <c r="C494" s="68">
        <v>16.850000000000001</v>
      </c>
    </row>
    <row r="495" spans="1:3" x14ac:dyDescent="0.55000000000000004">
      <c r="A495" s="68">
        <v>575</v>
      </c>
      <c r="C495" s="68">
        <v>20.54</v>
      </c>
    </row>
    <row r="496" spans="1:3" x14ac:dyDescent="0.55000000000000004">
      <c r="A496" s="68">
        <v>575</v>
      </c>
      <c r="C496" s="68">
        <v>19.68</v>
      </c>
    </row>
    <row r="497" spans="1:3" x14ac:dyDescent="0.55000000000000004">
      <c r="A497" s="68">
        <v>575</v>
      </c>
      <c r="C497" s="68">
        <v>18.87</v>
      </c>
    </row>
    <row r="498" spans="1:3" x14ac:dyDescent="0.55000000000000004">
      <c r="A498" s="68">
        <v>575</v>
      </c>
      <c r="C498" s="68">
        <v>20.18</v>
      </c>
    </row>
    <row r="499" spans="1:3" x14ac:dyDescent="0.55000000000000004">
      <c r="A499" s="68">
        <v>575</v>
      </c>
      <c r="C499" s="68">
        <v>17.670000000000002</v>
      </c>
    </row>
    <row r="500" spans="1:3" x14ac:dyDescent="0.55000000000000004">
      <c r="A500" s="68">
        <v>575</v>
      </c>
      <c r="C500" s="68">
        <v>19.72</v>
      </c>
    </row>
    <row r="501" spans="1:3" x14ac:dyDescent="0.55000000000000004">
      <c r="A501" s="68">
        <v>345</v>
      </c>
      <c r="C501" s="68">
        <v>15</v>
      </c>
    </row>
    <row r="502" spans="1:3" x14ac:dyDescent="0.55000000000000004">
      <c r="A502" s="68">
        <v>345</v>
      </c>
      <c r="C502" s="68">
        <v>20</v>
      </c>
    </row>
    <row r="503" spans="1:3" x14ac:dyDescent="0.55000000000000004">
      <c r="A503" s="68">
        <v>345</v>
      </c>
      <c r="C503" s="68">
        <v>17</v>
      </c>
    </row>
    <row r="504" spans="1:3" x14ac:dyDescent="0.55000000000000004">
      <c r="A504" s="68">
        <v>345</v>
      </c>
      <c r="C504" s="68">
        <v>16</v>
      </c>
    </row>
    <row r="505" spans="1:3" x14ac:dyDescent="0.55000000000000004">
      <c r="A505" s="68">
        <v>345</v>
      </c>
      <c r="C505" s="68">
        <v>17</v>
      </c>
    </row>
    <row r="506" spans="1:3" x14ac:dyDescent="0.55000000000000004">
      <c r="A506" s="68">
        <v>605</v>
      </c>
      <c r="C506" s="68">
        <v>16.25</v>
      </c>
    </row>
    <row r="507" spans="1:3" x14ac:dyDescent="0.55000000000000004">
      <c r="A507" s="68">
        <v>605</v>
      </c>
      <c r="C507" s="68">
        <v>16.559999999999999</v>
      </c>
    </row>
    <row r="508" spans="1:3" x14ac:dyDescent="0.55000000000000004">
      <c r="A508" s="68">
        <v>605</v>
      </c>
      <c r="C508" s="68">
        <v>16.559999999999999</v>
      </c>
    </row>
    <row r="509" spans="1:3" x14ac:dyDescent="0.55000000000000004">
      <c r="A509" s="68">
        <v>605</v>
      </c>
      <c r="C509" s="68">
        <v>16.559999999999999</v>
      </c>
    </row>
    <row r="510" spans="1:3" x14ac:dyDescent="0.55000000000000004">
      <c r="A510" s="68">
        <v>605</v>
      </c>
      <c r="C510" s="68">
        <v>16.579999999999998</v>
      </c>
    </row>
    <row r="511" spans="1:3" x14ac:dyDescent="0.55000000000000004">
      <c r="A511" s="68">
        <v>605</v>
      </c>
      <c r="C511" s="68">
        <v>16.91</v>
      </c>
    </row>
    <row r="512" spans="1:3" x14ac:dyDescent="0.55000000000000004">
      <c r="A512" s="68">
        <v>605</v>
      </c>
      <c r="C512" s="68">
        <v>17.190000000000001</v>
      </c>
    </row>
    <row r="513" spans="1:3" x14ac:dyDescent="0.55000000000000004">
      <c r="A513" s="68">
        <v>605</v>
      </c>
      <c r="C513" s="68">
        <v>17.68</v>
      </c>
    </row>
    <row r="514" spans="1:3" x14ac:dyDescent="0.55000000000000004">
      <c r="A514" s="68">
        <v>605</v>
      </c>
      <c r="C514" s="68">
        <v>18.190000000000001</v>
      </c>
    </row>
    <row r="515" spans="1:3" x14ac:dyDescent="0.55000000000000004">
      <c r="A515" s="68">
        <v>605</v>
      </c>
      <c r="C515" s="68">
        <v>18.190000000000001</v>
      </c>
    </row>
    <row r="516" spans="1:3" x14ac:dyDescent="0.55000000000000004">
      <c r="A516" s="68">
        <v>605</v>
      </c>
      <c r="C516" s="68">
        <v>18.54</v>
      </c>
    </row>
    <row r="517" spans="1:3" x14ac:dyDescent="0.55000000000000004">
      <c r="A517" s="68">
        <v>938</v>
      </c>
      <c r="C517" s="68">
        <v>19.87</v>
      </c>
    </row>
    <row r="518" spans="1:3" x14ac:dyDescent="0.55000000000000004">
      <c r="A518" s="68">
        <v>938</v>
      </c>
      <c r="C518" s="68">
        <v>16.66</v>
      </c>
    </row>
    <row r="519" spans="1:3" x14ac:dyDescent="0.55000000000000004">
      <c r="A519" s="68">
        <v>938</v>
      </c>
      <c r="C519" s="68">
        <v>16.66</v>
      </c>
    </row>
    <row r="520" spans="1:3" x14ac:dyDescent="0.55000000000000004">
      <c r="A520" s="68">
        <v>938</v>
      </c>
      <c r="C520" s="68">
        <v>17.350000000000001</v>
      </c>
    </row>
    <row r="521" spans="1:3" x14ac:dyDescent="0.55000000000000004">
      <c r="A521" s="68">
        <v>938</v>
      </c>
      <c r="C521" s="68">
        <v>17.350000000000001</v>
      </c>
    </row>
    <row r="522" spans="1:3" x14ac:dyDescent="0.55000000000000004">
      <c r="A522" s="68">
        <v>938</v>
      </c>
      <c r="C522" s="68">
        <v>15</v>
      </c>
    </row>
    <row r="523" spans="1:3" x14ac:dyDescent="0.55000000000000004">
      <c r="A523" s="68">
        <v>938</v>
      </c>
      <c r="C523" s="68">
        <v>16.18</v>
      </c>
    </row>
    <row r="524" spans="1:3" x14ac:dyDescent="0.55000000000000004">
      <c r="A524" s="68">
        <v>938</v>
      </c>
      <c r="C524" s="68">
        <v>16.66</v>
      </c>
    </row>
    <row r="525" spans="1:3" x14ac:dyDescent="0.55000000000000004">
      <c r="A525" s="68">
        <v>938</v>
      </c>
      <c r="C525" s="68">
        <v>19.05</v>
      </c>
    </row>
    <row r="526" spans="1:3" x14ac:dyDescent="0.55000000000000004">
      <c r="A526" s="68">
        <v>589</v>
      </c>
      <c r="C526" s="68">
        <v>12</v>
      </c>
    </row>
    <row r="527" spans="1:3" x14ac:dyDescent="0.55000000000000004">
      <c r="A527" s="68">
        <v>589</v>
      </c>
      <c r="C527" s="68">
        <v>12</v>
      </c>
    </row>
    <row r="528" spans="1:3" x14ac:dyDescent="0.55000000000000004">
      <c r="A528" s="68">
        <v>589</v>
      </c>
      <c r="C528" s="68">
        <v>14</v>
      </c>
    </row>
    <row r="529" spans="1:3" x14ac:dyDescent="0.55000000000000004">
      <c r="A529" s="68">
        <v>589</v>
      </c>
      <c r="C529" s="68">
        <v>14.1</v>
      </c>
    </row>
    <row r="530" spans="1:3" x14ac:dyDescent="0.55000000000000004">
      <c r="A530" s="68">
        <v>589</v>
      </c>
      <c r="C530" s="68">
        <v>14.1</v>
      </c>
    </row>
    <row r="531" spans="1:3" x14ac:dyDescent="0.55000000000000004">
      <c r="A531" s="68">
        <v>740</v>
      </c>
      <c r="C531" s="68">
        <v>15.75</v>
      </c>
    </row>
    <row r="532" spans="1:3" x14ac:dyDescent="0.55000000000000004">
      <c r="A532" s="68">
        <v>740</v>
      </c>
      <c r="C532" s="68">
        <v>15</v>
      </c>
    </row>
    <row r="533" spans="1:3" x14ac:dyDescent="0.55000000000000004">
      <c r="A533" s="68">
        <v>740</v>
      </c>
      <c r="C533" s="68">
        <v>18.100000000000001</v>
      </c>
    </row>
    <row r="534" spans="1:3" x14ac:dyDescent="0.55000000000000004">
      <c r="A534" s="68">
        <v>740</v>
      </c>
      <c r="C534" s="68">
        <v>15</v>
      </c>
    </row>
    <row r="535" spans="1:3" x14ac:dyDescent="0.55000000000000004">
      <c r="A535" s="68">
        <v>740</v>
      </c>
      <c r="C535" s="68">
        <v>15</v>
      </c>
    </row>
    <row r="536" spans="1:3" x14ac:dyDescent="0.55000000000000004">
      <c r="A536" s="68">
        <v>740</v>
      </c>
      <c r="C536" s="68">
        <v>18.100000000000001</v>
      </c>
    </row>
    <row r="537" spans="1:3" x14ac:dyDescent="0.55000000000000004">
      <c r="A537" s="68">
        <v>740</v>
      </c>
      <c r="C537" s="68">
        <v>14.78</v>
      </c>
    </row>
    <row r="538" spans="1:3" x14ac:dyDescent="0.55000000000000004">
      <c r="A538" s="68">
        <v>740</v>
      </c>
      <c r="C538" s="68">
        <v>14.78</v>
      </c>
    </row>
    <row r="539" spans="1:3" x14ac:dyDescent="0.55000000000000004">
      <c r="A539" s="68">
        <v>740</v>
      </c>
      <c r="C539" s="68">
        <v>14</v>
      </c>
    </row>
    <row r="540" spans="1:3" x14ac:dyDescent="0.55000000000000004">
      <c r="A540" s="68">
        <v>740</v>
      </c>
      <c r="C540" s="68">
        <v>13.67</v>
      </c>
    </row>
    <row r="541" spans="1:3" x14ac:dyDescent="0.55000000000000004">
      <c r="A541" s="68">
        <v>902</v>
      </c>
      <c r="C541" s="68">
        <v>14.5</v>
      </c>
    </row>
    <row r="542" spans="1:3" x14ac:dyDescent="0.55000000000000004">
      <c r="A542" s="68">
        <v>902</v>
      </c>
      <c r="C542" s="68">
        <v>15</v>
      </c>
    </row>
    <row r="543" spans="1:3" x14ac:dyDescent="0.55000000000000004">
      <c r="A543" s="68">
        <v>902</v>
      </c>
      <c r="C543" s="68">
        <v>15</v>
      </c>
    </row>
    <row r="544" spans="1:3" x14ac:dyDescent="0.55000000000000004">
      <c r="A544" s="68">
        <v>902</v>
      </c>
      <c r="C544" s="68">
        <v>15.3</v>
      </c>
    </row>
    <row r="545" spans="1:3" x14ac:dyDescent="0.55000000000000004">
      <c r="A545" s="68">
        <v>902</v>
      </c>
      <c r="C545" s="68">
        <v>15.38</v>
      </c>
    </row>
    <row r="546" spans="1:3" x14ac:dyDescent="0.55000000000000004">
      <c r="A546" s="68">
        <v>902</v>
      </c>
      <c r="C546" s="68">
        <v>15.81</v>
      </c>
    </row>
    <row r="547" spans="1:3" x14ac:dyDescent="0.55000000000000004">
      <c r="A547" s="68">
        <v>902</v>
      </c>
      <c r="C547" s="68">
        <v>16.32</v>
      </c>
    </row>
    <row r="548" spans="1:3" x14ac:dyDescent="0.55000000000000004">
      <c r="A548" s="68">
        <v>902</v>
      </c>
      <c r="C548" s="68">
        <v>18</v>
      </c>
    </row>
    <row r="549" spans="1:3" x14ac:dyDescent="0.55000000000000004">
      <c r="A549" s="68">
        <v>902</v>
      </c>
      <c r="C549" s="68">
        <v>18.04</v>
      </c>
    </row>
    <row r="550" spans="1:3" x14ac:dyDescent="0.55000000000000004">
      <c r="A550" s="68">
        <v>273</v>
      </c>
      <c r="C550" s="68">
        <v>14.15</v>
      </c>
    </row>
    <row r="551" spans="1:3" x14ac:dyDescent="0.55000000000000004">
      <c r="A551" s="68">
        <v>273</v>
      </c>
      <c r="C551" s="68">
        <v>15</v>
      </c>
    </row>
    <row r="552" spans="1:3" x14ac:dyDescent="0.55000000000000004">
      <c r="A552" s="68">
        <v>273</v>
      </c>
      <c r="C552" s="68">
        <v>15.25</v>
      </c>
    </row>
    <row r="553" spans="1:3" x14ac:dyDescent="0.55000000000000004">
      <c r="A553" s="68">
        <v>273</v>
      </c>
      <c r="C553" s="68">
        <v>15.25</v>
      </c>
    </row>
    <row r="554" spans="1:3" x14ac:dyDescent="0.55000000000000004">
      <c r="A554" s="68">
        <v>273</v>
      </c>
      <c r="C554" s="68">
        <v>15.25</v>
      </c>
    </row>
    <row r="555" spans="1:3" x14ac:dyDescent="0.55000000000000004">
      <c r="A555" s="68">
        <v>273</v>
      </c>
      <c r="C555" s="68">
        <v>15.5</v>
      </c>
    </row>
    <row r="556" spans="1:3" x14ac:dyDescent="0.55000000000000004">
      <c r="A556" s="68">
        <v>273</v>
      </c>
      <c r="C556" s="68">
        <v>16.5</v>
      </c>
    </row>
    <row r="557" spans="1:3" x14ac:dyDescent="0.55000000000000004">
      <c r="A557" s="68">
        <v>273</v>
      </c>
      <c r="C557" s="68">
        <v>16.5</v>
      </c>
    </row>
    <row r="558" spans="1:3" x14ac:dyDescent="0.55000000000000004">
      <c r="A558" s="68">
        <v>273</v>
      </c>
      <c r="C558" s="68">
        <v>17.2</v>
      </c>
    </row>
    <row r="559" spans="1:3" x14ac:dyDescent="0.55000000000000004">
      <c r="A559" s="68">
        <v>824</v>
      </c>
      <c r="C559" s="68">
        <v>17.77</v>
      </c>
    </row>
    <row r="560" spans="1:3" x14ac:dyDescent="0.55000000000000004">
      <c r="A560" s="68">
        <v>824</v>
      </c>
      <c r="C560" s="68">
        <v>21.01</v>
      </c>
    </row>
    <row r="561" spans="1:3" x14ac:dyDescent="0.55000000000000004">
      <c r="A561" s="68">
        <v>824</v>
      </c>
      <c r="C561" s="68">
        <v>17.059999999999999</v>
      </c>
    </row>
    <row r="562" spans="1:3" x14ac:dyDescent="0.55000000000000004">
      <c r="A562" s="68">
        <v>824</v>
      </c>
      <c r="C562" s="68">
        <v>19.34</v>
      </c>
    </row>
    <row r="563" spans="1:3" x14ac:dyDescent="0.55000000000000004">
      <c r="A563" s="68">
        <v>824</v>
      </c>
      <c r="C563" s="68">
        <v>17.059999999999999</v>
      </c>
    </row>
    <row r="564" spans="1:3" x14ac:dyDescent="0.55000000000000004">
      <c r="A564" s="68">
        <v>824</v>
      </c>
      <c r="C564" s="68">
        <v>19.73</v>
      </c>
    </row>
    <row r="565" spans="1:3" x14ac:dyDescent="0.55000000000000004">
      <c r="A565" s="68">
        <v>824</v>
      </c>
      <c r="C565" s="68">
        <v>17.7</v>
      </c>
    </row>
    <row r="566" spans="1:3" x14ac:dyDescent="0.55000000000000004">
      <c r="A566" s="68">
        <v>824</v>
      </c>
      <c r="C566" s="68">
        <v>18.16</v>
      </c>
    </row>
    <row r="567" spans="1:3" x14ac:dyDescent="0.55000000000000004">
      <c r="A567" s="68">
        <v>824</v>
      </c>
      <c r="C567" s="68">
        <v>16.37</v>
      </c>
    </row>
    <row r="568" spans="1:3" x14ac:dyDescent="0.55000000000000004">
      <c r="A568" s="68">
        <v>824</v>
      </c>
      <c r="C568" s="68">
        <v>19.47</v>
      </c>
    </row>
    <row r="569" spans="1:3" x14ac:dyDescent="0.55000000000000004">
      <c r="A569" s="68">
        <v>824</v>
      </c>
      <c r="C569" s="68">
        <v>19.97</v>
      </c>
    </row>
    <row r="570" spans="1:3" x14ac:dyDescent="0.55000000000000004">
      <c r="A570" s="68">
        <v>824</v>
      </c>
      <c r="C570" s="68">
        <v>17.37</v>
      </c>
    </row>
    <row r="571" spans="1:3" x14ac:dyDescent="0.55000000000000004">
      <c r="C571" s="68">
        <v>16.985599999999998</v>
      </c>
    </row>
    <row r="572" spans="1:3" x14ac:dyDescent="0.55000000000000004">
      <c r="C572" s="68">
        <v>17.146547041911735</v>
      </c>
    </row>
    <row r="573" spans="1:3" x14ac:dyDescent="0.55000000000000004">
      <c r="C573" s="68">
        <v>12</v>
      </c>
    </row>
    <row r="574" spans="1:3" x14ac:dyDescent="0.55000000000000004">
      <c r="C574" s="68">
        <v>26.71</v>
      </c>
    </row>
    <row r="575" spans="1:3" x14ac:dyDescent="0.55000000000000004">
      <c r="C575" s="68">
        <v>15.785</v>
      </c>
    </row>
    <row r="576" spans="1:3" x14ac:dyDescent="0.55000000000000004">
      <c r="C576" s="68">
        <v>18.405000000000001</v>
      </c>
    </row>
  </sheetData>
  <sheetProtection algorithmName="SHA-512" hashValue="zHxqigOFW5vVQlK+OKIwJhpsb7RuTTgS6dNf6uP69Lc8ObTCYG217PKRuDMBPW78ys81OlDeSvi1n2xQvTPkMg==" saltValue="81lsB/ZsDm5SiQEBeKtiq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CNA Sample</vt:lpstr>
      <vt:lpstr>CNA Detail</vt:lpstr>
      <vt:lpstr>Dietary Sample</vt:lpstr>
      <vt:lpstr>Dietary Detail</vt:lpstr>
      <vt:lpstr>Activities Sample</vt:lpstr>
      <vt:lpstr>Act detail</vt:lpstr>
      <vt:lpstr>Housekeeping Sample</vt:lpstr>
      <vt:lpstr>HSKG detail</vt:lpstr>
      <vt:lpstr>SAS Data</vt:lpstr>
      <vt:lpstr>Estimator data 120523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Brenne, Kimberly A (DHS)</dc:creator>
  <cp:keywords/>
  <dc:description/>
  <cp:lastModifiedBy>Jenny</cp:lastModifiedBy>
  <cp:revision/>
  <dcterms:created xsi:type="dcterms:W3CDTF">2023-12-06T20:39:07Z</dcterms:created>
  <dcterms:modified xsi:type="dcterms:W3CDTF">2024-04-05T13:24:37Z</dcterms:modified>
  <cp:category/>
  <cp:contentStatus/>
</cp:coreProperties>
</file>